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Fernando Rangel\Google Drive\SBT Tool\OEMs\"/>
    </mc:Choice>
  </mc:AlternateContent>
  <workbookProtection workbookPassword="AA40" lockStructure="1"/>
  <bookViews>
    <workbookView xWindow="0" yWindow="0" windowWidth="20490" windowHeight="7755" firstSheet="9" activeTab="10"/>
  </bookViews>
  <sheets>
    <sheet name="XX" sheetId="1" state="hidden" r:id="rId1"/>
    <sheet name="Raw data OLD" sheetId="12" state="hidden" r:id="rId2"/>
    <sheet name="Raw data B2DS" sheetId="15" state="hidden" r:id="rId3"/>
    <sheet name="Hoja1" sheetId="17" state="hidden" r:id="rId4"/>
    <sheet name="Raw data 2DS" sheetId="14" state="hidden" r:id="rId5"/>
    <sheet name="DataB2DS" sheetId="2" state="hidden" r:id="rId6"/>
    <sheet name="Catalogues" sheetId="3" state="hidden" r:id="rId7"/>
    <sheet name="Calculations" sheetId="5" state="hidden" r:id="rId8"/>
    <sheet name="Graphs" sheetId="7" state="hidden" r:id="rId9"/>
    <sheet name="Intro" sheetId="11" r:id="rId10"/>
    <sheet name="Method" sheetId="16" r:id="rId11"/>
    <sheet name="Tool" sheetId="4" r:id="rId12"/>
  </sheets>
  <definedNames>
    <definedName name="_xlnm._FilterDatabase" localSheetId="6" hidden="1">Catalogues!$B$21:$F$28</definedName>
    <definedName name="ACTIVITY_2DS">DataB2DS!$B$28:$AY$50</definedName>
    <definedName name="ACTIVITY_B2DS">XX!$B$28:$BA$50</definedName>
    <definedName name="activity_by">Tool!$C$21</definedName>
    <definedName name="activity_ty">Tool!$C$22</definedName>
    <definedName name="by">Tool!$C$17</definedName>
    <definedName name="modes">Tool!$B$13</definedName>
    <definedName name="S1_Intensity_B2DS">DataB2DS!$B$53:$AY$75</definedName>
    <definedName name="S1Emissions_B2DS">DataB2DS!$B$3:$AY$21</definedName>
    <definedName name="S2_Intensity_B2DS">DataB2DS!$B$103:$AO$107</definedName>
    <definedName name="S2Emissions_B2DS">DataB2DS!$B$78:$AY$100</definedName>
    <definedName name="Target">Graphs!$B$15:$I$15</definedName>
    <definedName name="targetInt_2DS">Calculations!$D$96</definedName>
    <definedName name="ty">Tool!$C$18</definedName>
    <definedName name="WTTEmissions_B2DS">XX!$B$78:$BA$96</definedName>
    <definedName name="WTTIntensity_2DS">DataB2DS!$B$103:$AY$125</definedName>
    <definedName name="WTTIntensity_B2DS">XX!$B$103:$BA$125</definedName>
    <definedName name="WTWEmissions_B2DS">XX!$B$3:$BA$21</definedName>
    <definedName name="WTWIntensity_B2DS">XX!$B$53:$BA$75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196" i="15" l="1"/>
  <c r="AO196" i="15"/>
  <c r="AN196" i="15"/>
  <c r="AM196" i="15"/>
  <c r="AL196" i="15"/>
  <c r="AK196" i="15"/>
  <c r="AJ196" i="15"/>
  <c r="AI196" i="15"/>
  <c r="AH196" i="15"/>
  <c r="AG196" i="15"/>
  <c r="AF196" i="15"/>
  <c r="AE196" i="15"/>
  <c r="AD196" i="15"/>
  <c r="AC196" i="15"/>
  <c r="AB196" i="15"/>
  <c r="AA196" i="15"/>
  <c r="Z196" i="15"/>
  <c r="Y196" i="15"/>
  <c r="X196" i="15"/>
  <c r="W196" i="15"/>
  <c r="V196" i="15"/>
  <c r="U196" i="15"/>
  <c r="T196" i="15"/>
  <c r="S196" i="15"/>
  <c r="R196" i="15"/>
  <c r="Q196" i="15"/>
  <c r="P196" i="15"/>
  <c r="O196" i="15"/>
  <c r="N196" i="15"/>
  <c r="M196" i="15"/>
  <c r="L196" i="15"/>
  <c r="K196" i="15"/>
  <c r="J196" i="15"/>
  <c r="I196" i="15"/>
  <c r="H196" i="15"/>
  <c r="G196" i="15"/>
  <c r="AP195" i="15"/>
  <c r="AO195" i="15"/>
  <c r="AN195" i="15"/>
  <c r="AM195" i="15"/>
  <c r="AL195" i="15"/>
  <c r="AK195" i="15"/>
  <c r="AJ195" i="15"/>
  <c r="AI195" i="15"/>
  <c r="AH195" i="15"/>
  <c r="AG195" i="15"/>
  <c r="AF195" i="15"/>
  <c r="AE195" i="15"/>
  <c r="AD195" i="15"/>
  <c r="AC195" i="15"/>
  <c r="AB195" i="15"/>
  <c r="AA195" i="15"/>
  <c r="Z195" i="15"/>
  <c r="Y195" i="15"/>
  <c r="X195" i="15"/>
  <c r="W195" i="15"/>
  <c r="V195" i="15"/>
  <c r="U195" i="15"/>
  <c r="T195" i="15"/>
  <c r="S195" i="15"/>
  <c r="R195" i="15"/>
  <c r="Q195" i="15"/>
  <c r="P195" i="15"/>
  <c r="O195" i="15"/>
  <c r="N195" i="15"/>
  <c r="M195" i="15"/>
  <c r="L195" i="15"/>
  <c r="K195" i="15"/>
  <c r="J195" i="15"/>
  <c r="I195" i="15"/>
  <c r="H195" i="15"/>
  <c r="G195" i="15"/>
  <c r="AP194" i="15"/>
  <c r="AO194" i="15"/>
  <c r="AN194" i="15"/>
  <c r="AM194" i="15"/>
  <c r="AL194" i="15"/>
  <c r="AK194" i="15"/>
  <c r="AJ194" i="15"/>
  <c r="AI194" i="15"/>
  <c r="AH194" i="15"/>
  <c r="AG194" i="15"/>
  <c r="AF194" i="15"/>
  <c r="AE194" i="15"/>
  <c r="AD194" i="15"/>
  <c r="AC194" i="15"/>
  <c r="AB194" i="15"/>
  <c r="AA194" i="15"/>
  <c r="Z194" i="15"/>
  <c r="Y194" i="15"/>
  <c r="X194" i="15"/>
  <c r="W194" i="15"/>
  <c r="V194" i="15"/>
  <c r="U194" i="15"/>
  <c r="T194" i="15"/>
  <c r="S194" i="15"/>
  <c r="R194" i="15"/>
  <c r="Q194" i="15"/>
  <c r="P194" i="15"/>
  <c r="O194" i="15"/>
  <c r="N194" i="15"/>
  <c r="M194" i="15"/>
  <c r="L194" i="15"/>
  <c r="K194" i="15"/>
  <c r="J194" i="15"/>
  <c r="I194" i="15"/>
  <c r="H194" i="15"/>
  <c r="G194" i="15"/>
  <c r="F196" i="15"/>
  <c r="F195" i="15"/>
  <c r="F194" i="15"/>
  <c r="AP191" i="15"/>
  <c r="AO191" i="15"/>
  <c r="AN191" i="15"/>
  <c r="AM191" i="15"/>
  <c r="AL191" i="15"/>
  <c r="AK191" i="15"/>
  <c r="AJ191" i="15"/>
  <c r="AI191" i="15"/>
  <c r="AH191" i="15"/>
  <c r="AG191" i="15"/>
  <c r="AF191" i="15"/>
  <c r="AE191" i="15"/>
  <c r="AD191" i="15"/>
  <c r="AC191" i="15"/>
  <c r="AB191" i="15"/>
  <c r="AA191" i="15"/>
  <c r="Z191" i="15"/>
  <c r="Y191" i="15"/>
  <c r="X191" i="15"/>
  <c r="W191" i="15"/>
  <c r="V191" i="15"/>
  <c r="U191" i="15"/>
  <c r="T191" i="15"/>
  <c r="S191" i="15"/>
  <c r="R191" i="15"/>
  <c r="Q191" i="15"/>
  <c r="P191" i="15"/>
  <c r="O191" i="15"/>
  <c r="N191" i="15"/>
  <c r="M191" i="15"/>
  <c r="L191" i="15"/>
  <c r="K191" i="15"/>
  <c r="J191" i="15"/>
  <c r="I191" i="15"/>
  <c r="H191" i="15"/>
  <c r="G191" i="15"/>
  <c r="AP190" i="15"/>
  <c r="AO190" i="15"/>
  <c r="AN190" i="15"/>
  <c r="AM190" i="15"/>
  <c r="AL190" i="15"/>
  <c r="AK190" i="15"/>
  <c r="AJ190" i="15"/>
  <c r="AI190" i="15"/>
  <c r="AH190" i="15"/>
  <c r="AG190" i="15"/>
  <c r="AF190" i="15"/>
  <c r="AE190" i="15"/>
  <c r="AD190" i="15"/>
  <c r="AC190" i="15"/>
  <c r="AB190" i="15"/>
  <c r="AA190" i="15"/>
  <c r="Z190" i="15"/>
  <c r="Y190" i="15"/>
  <c r="X190" i="15"/>
  <c r="W190" i="15"/>
  <c r="V190" i="15"/>
  <c r="U190" i="15"/>
  <c r="T190" i="15"/>
  <c r="S190" i="15"/>
  <c r="R190" i="15"/>
  <c r="Q190" i="15"/>
  <c r="P190" i="15"/>
  <c r="O190" i="15"/>
  <c r="N190" i="15"/>
  <c r="M190" i="15"/>
  <c r="L190" i="15"/>
  <c r="K190" i="15"/>
  <c r="J190" i="15"/>
  <c r="I190" i="15"/>
  <c r="H190" i="15"/>
  <c r="G190" i="15"/>
  <c r="F191" i="15"/>
  <c r="F190" i="15"/>
  <c r="AP184" i="15"/>
  <c r="AO184" i="15"/>
  <c r="AN184" i="15"/>
  <c r="AM184" i="15"/>
  <c r="AL184" i="15"/>
  <c r="AK184" i="15"/>
  <c r="AJ184" i="15"/>
  <c r="AI184" i="15"/>
  <c r="AH184" i="15"/>
  <c r="AG184" i="15"/>
  <c r="AF184" i="15"/>
  <c r="AE184" i="15"/>
  <c r="AD184" i="15"/>
  <c r="AC184" i="15"/>
  <c r="AB184" i="15"/>
  <c r="AA184" i="15"/>
  <c r="Z184" i="15"/>
  <c r="Y184" i="15"/>
  <c r="X184" i="15"/>
  <c r="W184" i="15"/>
  <c r="V184" i="15"/>
  <c r="U184" i="15"/>
  <c r="T184" i="15"/>
  <c r="S184" i="15"/>
  <c r="R184" i="15"/>
  <c r="Q184" i="15"/>
  <c r="P184" i="15"/>
  <c r="O184" i="15"/>
  <c r="N184" i="15"/>
  <c r="M184" i="15"/>
  <c r="L184" i="15"/>
  <c r="K184" i="15"/>
  <c r="J184" i="15"/>
  <c r="I184" i="15"/>
  <c r="H184" i="15"/>
  <c r="G184" i="15"/>
  <c r="AP183" i="15"/>
  <c r="AO183" i="15"/>
  <c r="AN183" i="15"/>
  <c r="AM183" i="15"/>
  <c r="AL183" i="15"/>
  <c r="AK183" i="15"/>
  <c r="AJ183" i="15"/>
  <c r="AI183" i="15"/>
  <c r="AH183" i="15"/>
  <c r="AG183" i="15"/>
  <c r="AF183" i="15"/>
  <c r="AE183" i="15"/>
  <c r="AD183" i="15"/>
  <c r="AC183" i="15"/>
  <c r="AB183" i="15"/>
  <c r="AA183" i="15"/>
  <c r="Z183" i="15"/>
  <c r="Y183" i="15"/>
  <c r="X183" i="15"/>
  <c r="W183" i="15"/>
  <c r="V183" i="15"/>
  <c r="U183" i="15"/>
  <c r="T183" i="15"/>
  <c r="S183" i="15"/>
  <c r="R183" i="15"/>
  <c r="Q183" i="15"/>
  <c r="P183" i="15"/>
  <c r="O183" i="15"/>
  <c r="N183" i="15"/>
  <c r="M183" i="15"/>
  <c r="L183" i="15"/>
  <c r="K183" i="15"/>
  <c r="J183" i="15"/>
  <c r="I183" i="15"/>
  <c r="H183" i="15"/>
  <c r="G183" i="15"/>
  <c r="F184" i="15"/>
  <c r="F183" i="15"/>
  <c r="AP186" i="15"/>
  <c r="AO186" i="15"/>
  <c r="AN186" i="15"/>
  <c r="AM186" i="15"/>
  <c r="AL186" i="15"/>
  <c r="AK186" i="15"/>
  <c r="AJ186" i="15"/>
  <c r="AI186" i="15"/>
  <c r="AH186" i="15"/>
  <c r="AG186" i="15"/>
  <c r="AF186" i="15"/>
  <c r="AE186" i="15"/>
  <c r="AD186" i="15"/>
  <c r="AC186" i="15"/>
  <c r="AB186" i="15"/>
  <c r="AA186" i="15"/>
  <c r="Z186" i="15"/>
  <c r="Y186" i="15"/>
  <c r="X186" i="15"/>
  <c r="W186" i="15"/>
  <c r="V186" i="15"/>
  <c r="U186" i="15"/>
  <c r="T186" i="15"/>
  <c r="S186" i="15"/>
  <c r="R186" i="15"/>
  <c r="Q186" i="15"/>
  <c r="P186" i="15"/>
  <c r="O186" i="15"/>
  <c r="N186" i="15"/>
  <c r="M186" i="15"/>
  <c r="L186" i="15"/>
  <c r="K186" i="15"/>
  <c r="J186" i="15"/>
  <c r="I186" i="15"/>
  <c r="H186" i="15"/>
  <c r="G186" i="15"/>
  <c r="F186" i="15"/>
  <c r="G185" i="15"/>
  <c r="H185" i="15"/>
  <c r="I185" i="15"/>
  <c r="J185" i="15"/>
  <c r="K185" i="15"/>
  <c r="L185" i="15"/>
  <c r="M185" i="15"/>
  <c r="N185" i="15"/>
  <c r="O185" i="15"/>
  <c r="P185" i="15"/>
  <c r="Q185" i="15"/>
  <c r="R185" i="15"/>
  <c r="S185" i="15"/>
  <c r="T185" i="15"/>
  <c r="U185" i="15"/>
  <c r="V185" i="15"/>
  <c r="W185" i="15"/>
  <c r="X185" i="15"/>
  <c r="Y185" i="15"/>
  <c r="Z185" i="15"/>
  <c r="AA185" i="15"/>
  <c r="AB185" i="15"/>
  <c r="AC185" i="15"/>
  <c r="AD185" i="15"/>
  <c r="AE185" i="15"/>
  <c r="AF185" i="15"/>
  <c r="AG185" i="15"/>
  <c r="AH185" i="15"/>
  <c r="AI185" i="15"/>
  <c r="AJ185" i="15"/>
  <c r="AK185" i="15"/>
  <c r="AL185" i="15"/>
  <c r="AM185" i="15"/>
  <c r="AN185" i="15"/>
  <c r="AO185" i="15"/>
  <c r="AP185" i="15"/>
  <c r="F185" i="15"/>
  <c r="G188" i="15"/>
  <c r="H188" i="15"/>
  <c r="I188" i="15"/>
  <c r="J188" i="15"/>
  <c r="K188" i="15"/>
  <c r="L188" i="15"/>
  <c r="M188" i="15"/>
  <c r="N188" i="15"/>
  <c r="O188" i="15"/>
  <c r="P188" i="15"/>
  <c r="Q188" i="15"/>
  <c r="R188" i="15"/>
  <c r="S188" i="15"/>
  <c r="T188" i="15"/>
  <c r="U188" i="15"/>
  <c r="V188" i="15"/>
  <c r="W188" i="15"/>
  <c r="X188" i="15"/>
  <c r="Y188" i="15"/>
  <c r="Z188" i="15"/>
  <c r="AA188" i="15"/>
  <c r="AB188" i="15"/>
  <c r="AC188" i="15"/>
  <c r="AD188" i="15"/>
  <c r="AE188" i="15"/>
  <c r="AF188" i="15"/>
  <c r="AG188" i="15"/>
  <c r="AH188" i="15"/>
  <c r="AI188" i="15"/>
  <c r="AJ188" i="15"/>
  <c r="AK188" i="15"/>
  <c r="AL188" i="15"/>
  <c r="AM188" i="15"/>
  <c r="AN188" i="15"/>
  <c r="AO188" i="15"/>
  <c r="AP188" i="15"/>
  <c r="G189" i="15"/>
  <c r="H189" i="15"/>
  <c r="I189" i="15"/>
  <c r="J189" i="15"/>
  <c r="K189" i="15"/>
  <c r="L189" i="15"/>
  <c r="M189" i="15"/>
  <c r="N189" i="15"/>
  <c r="O189" i="15"/>
  <c r="P189" i="15"/>
  <c r="Q189" i="15"/>
  <c r="R189" i="15"/>
  <c r="S189" i="15"/>
  <c r="T189" i="15"/>
  <c r="U189" i="15"/>
  <c r="V189" i="15"/>
  <c r="W189" i="15"/>
  <c r="X189" i="15"/>
  <c r="Y189" i="15"/>
  <c r="Z189" i="15"/>
  <c r="AA189" i="15"/>
  <c r="AB189" i="15"/>
  <c r="AC189" i="15"/>
  <c r="AD189" i="15"/>
  <c r="AE189" i="15"/>
  <c r="AF189" i="15"/>
  <c r="AG189" i="15"/>
  <c r="AH189" i="15"/>
  <c r="AI189" i="15"/>
  <c r="AJ189" i="15"/>
  <c r="AK189" i="15"/>
  <c r="AL189" i="15"/>
  <c r="AM189" i="15"/>
  <c r="AN189" i="15"/>
  <c r="AO189" i="15"/>
  <c r="AP189" i="15"/>
  <c r="F189" i="15"/>
  <c r="F188" i="15"/>
  <c r="F5" i="16"/>
  <c r="D178" i="15"/>
  <c r="E178" i="15"/>
  <c r="F178" i="15"/>
  <c r="G178" i="15"/>
  <c r="H178" i="15"/>
  <c r="I178" i="15"/>
  <c r="J178" i="15"/>
  <c r="K178" i="15"/>
  <c r="L178" i="15"/>
  <c r="M178" i="15"/>
  <c r="N178" i="15"/>
  <c r="O178" i="15"/>
  <c r="P178" i="15"/>
  <c r="Q178" i="15"/>
  <c r="R178" i="15"/>
  <c r="S178" i="15"/>
  <c r="T178" i="15"/>
  <c r="U178" i="15"/>
  <c r="V178" i="15"/>
  <c r="W178" i="15"/>
  <c r="X178" i="15"/>
  <c r="Y178" i="15"/>
  <c r="Z178" i="15"/>
  <c r="AA178" i="15"/>
  <c r="AB178" i="15"/>
  <c r="AC178" i="15"/>
  <c r="AD178" i="15"/>
  <c r="AE178" i="15"/>
  <c r="AF178" i="15"/>
  <c r="AG178" i="15"/>
  <c r="AH178" i="15"/>
  <c r="AI178" i="15"/>
  <c r="AJ178" i="15"/>
  <c r="AK178" i="15"/>
  <c r="AL178" i="15"/>
  <c r="AM178" i="15"/>
  <c r="AN178" i="15"/>
  <c r="AO178" i="15"/>
  <c r="AP178" i="15"/>
  <c r="D179" i="15"/>
  <c r="E179" i="15"/>
  <c r="F179" i="15"/>
  <c r="G179" i="15"/>
  <c r="H179" i="15"/>
  <c r="I179" i="15"/>
  <c r="J179" i="15"/>
  <c r="K179" i="15"/>
  <c r="L179" i="15"/>
  <c r="M179" i="15"/>
  <c r="N179" i="15"/>
  <c r="O179" i="15"/>
  <c r="P179" i="15"/>
  <c r="Q179" i="15"/>
  <c r="R179" i="15"/>
  <c r="S179" i="15"/>
  <c r="T179" i="15"/>
  <c r="U179" i="15"/>
  <c r="V179" i="15"/>
  <c r="W179" i="15"/>
  <c r="X179" i="15"/>
  <c r="Y179" i="15"/>
  <c r="Z179" i="15"/>
  <c r="AA179" i="15"/>
  <c r="AB179" i="15"/>
  <c r="AC179" i="15"/>
  <c r="AD179" i="15"/>
  <c r="AE179" i="15"/>
  <c r="AF179" i="15"/>
  <c r="AG179" i="15"/>
  <c r="AH179" i="15"/>
  <c r="AI179" i="15"/>
  <c r="AJ179" i="15"/>
  <c r="AK179" i="15"/>
  <c r="AL179" i="15"/>
  <c r="AM179" i="15"/>
  <c r="AN179" i="15"/>
  <c r="AO179" i="15"/>
  <c r="AP179" i="15"/>
  <c r="D180" i="15"/>
  <c r="E180" i="15"/>
  <c r="F180" i="15"/>
  <c r="G180" i="15"/>
  <c r="H180" i="15"/>
  <c r="I180" i="15"/>
  <c r="J180" i="15"/>
  <c r="K180" i="15"/>
  <c r="L180" i="15"/>
  <c r="M180" i="15"/>
  <c r="N180" i="15"/>
  <c r="O180" i="15"/>
  <c r="P180" i="15"/>
  <c r="Q180" i="15"/>
  <c r="R180" i="15"/>
  <c r="S180" i="15"/>
  <c r="T180" i="15"/>
  <c r="U180" i="15"/>
  <c r="V180" i="15"/>
  <c r="W180" i="15"/>
  <c r="X180" i="15"/>
  <c r="Y180" i="15"/>
  <c r="Z180" i="15"/>
  <c r="AA180" i="15"/>
  <c r="AB180" i="15"/>
  <c r="AC180" i="15"/>
  <c r="AD180" i="15"/>
  <c r="AE180" i="15"/>
  <c r="AF180" i="15"/>
  <c r="AG180" i="15"/>
  <c r="AH180" i="15"/>
  <c r="AI180" i="15"/>
  <c r="AJ180" i="15"/>
  <c r="AK180" i="15"/>
  <c r="AL180" i="15"/>
  <c r="AM180" i="15"/>
  <c r="AN180" i="15"/>
  <c r="AO180" i="15"/>
  <c r="AP180" i="15"/>
  <c r="F5" i="11"/>
  <c r="B31" i="4" l="1"/>
  <c r="E35" i="4"/>
  <c r="C126" i="5"/>
  <c r="H137" i="5"/>
  <c r="G137" i="5"/>
  <c r="F137" i="5"/>
  <c r="E137" i="5"/>
  <c r="D137" i="5"/>
  <c r="C137" i="5"/>
  <c r="D129" i="5"/>
  <c r="C129" i="5"/>
  <c r="C11" i="5"/>
  <c r="H125" i="5"/>
  <c r="G125" i="5"/>
  <c r="F125" i="5"/>
  <c r="E125" i="5"/>
  <c r="D125" i="5"/>
  <c r="C125" i="5"/>
  <c r="D117" i="5"/>
  <c r="C117" i="5"/>
  <c r="H95" i="5"/>
  <c r="C10" i="7" l="1"/>
  <c r="AT98" i="15"/>
  <c r="AO29" i="2" s="1"/>
  <c r="AO98" i="15"/>
  <c r="AJ29" i="2" s="1"/>
  <c r="AJ98" i="15"/>
  <c r="AE29" i="2" s="1"/>
  <c r="AE98" i="15"/>
  <c r="Z29" i="2" s="1"/>
  <c r="Z98" i="15"/>
  <c r="U29" i="2" s="1"/>
  <c r="U98" i="15"/>
  <c r="P29" i="2" s="1"/>
  <c r="P98" i="15"/>
  <c r="K29" i="2" s="1"/>
  <c r="K98" i="15"/>
  <c r="F29" i="2" s="1"/>
  <c r="F98" i="15"/>
  <c r="B98" i="15"/>
  <c r="AT95" i="15"/>
  <c r="AO95" i="15"/>
  <c r="AJ95" i="15"/>
  <c r="AE95" i="15"/>
  <c r="AI95" i="15" s="1"/>
  <c r="Z95" i="15"/>
  <c r="U95" i="15"/>
  <c r="J95" i="15"/>
  <c r="AT94" i="15"/>
  <c r="AO94" i="15"/>
  <c r="AJ94" i="15"/>
  <c r="AE94" i="15"/>
  <c r="Z94" i="15"/>
  <c r="AD94" i="15" s="1"/>
  <c r="U94" i="15"/>
  <c r="J94" i="15"/>
  <c r="B92" i="15"/>
  <c r="AT91" i="15"/>
  <c r="AO91" i="15"/>
  <c r="AP91" i="15" s="1"/>
  <c r="AJ91" i="15"/>
  <c r="AE91" i="15"/>
  <c r="Z91" i="15"/>
  <c r="AC91" i="15" s="1"/>
  <c r="U91" i="15"/>
  <c r="V91" i="15" s="1"/>
  <c r="J91" i="15"/>
  <c r="AT90" i="15"/>
  <c r="AO90" i="15"/>
  <c r="AR90" i="15" s="1"/>
  <c r="AJ90" i="15"/>
  <c r="AL90" i="15" s="1"/>
  <c r="AE90" i="15"/>
  <c r="Z90" i="15"/>
  <c r="U90" i="15"/>
  <c r="Y90" i="15" s="1"/>
  <c r="J90" i="15"/>
  <c r="L66" i="15"/>
  <c r="K73" i="15" s="1"/>
  <c r="K66" i="15"/>
  <c r="H73" i="15" s="1"/>
  <c r="G66" i="15"/>
  <c r="K74" i="15" s="1"/>
  <c r="F66" i="15"/>
  <c r="H74" i="15" s="1"/>
  <c r="E66" i="15"/>
  <c r="E68" i="15" s="1"/>
  <c r="D66" i="15"/>
  <c r="H75" i="15" s="1"/>
  <c r="N65" i="15"/>
  <c r="M65" i="15"/>
  <c r="I65" i="15"/>
  <c r="H65" i="15"/>
  <c r="N64" i="15"/>
  <c r="M64" i="15"/>
  <c r="I64" i="15"/>
  <c r="H64" i="15"/>
  <c r="N63" i="15"/>
  <c r="M63" i="15"/>
  <c r="I63" i="15"/>
  <c r="H63" i="15"/>
  <c r="N62" i="15"/>
  <c r="M62" i="15"/>
  <c r="I62" i="15"/>
  <c r="H62" i="15"/>
  <c r="N61" i="15"/>
  <c r="M61" i="15"/>
  <c r="I61" i="15"/>
  <c r="H61" i="15"/>
  <c r="N60" i="15"/>
  <c r="M60" i="15"/>
  <c r="I60" i="15"/>
  <c r="H60" i="15"/>
  <c r="N59" i="15"/>
  <c r="M59" i="15"/>
  <c r="I59" i="15"/>
  <c r="H59" i="15"/>
  <c r="N58" i="15"/>
  <c r="M58" i="15"/>
  <c r="I58" i="15"/>
  <c r="H58" i="15"/>
  <c r="N57" i="15"/>
  <c r="M57" i="15"/>
  <c r="I57" i="15"/>
  <c r="H57" i="15"/>
  <c r="N56" i="15"/>
  <c r="M56" i="15"/>
  <c r="I56" i="15"/>
  <c r="H56" i="15"/>
  <c r="N55" i="15"/>
  <c r="M55" i="15"/>
  <c r="I55" i="15"/>
  <c r="H55" i="15"/>
  <c r="N54" i="15"/>
  <c r="N67" i="15" s="1"/>
  <c r="M54" i="15"/>
  <c r="M67" i="15" s="1"/>
  <c r="I54" i="15"/>
  <c r="I67" i="15" s="1"/>
  <c r="H54" i="15"/>
  <c r="H67" i="15" s="1"/>
  <c r="L46" i="15"/>
  <c r="K46" i="15"/>
  <c r="J46" i="15"/>
  <c r="AT97" i="15" s="1"/>
  <c r="I46" i="15"/>
  <c r="AO97" i="15" s="1"/>
  <c r="H46" i="15"/>
  <c r="AJ97" i="15" s="1"/>
  <c r="G46" i="15"/>
  <c r="AE97" i="15" s="1"/>
  <c r="F46" i="15"/>
  <c r="N72" i="15" s="1"/>
  <c r="E46" i="15"/>
  <c r="U97" i="15" s="1"/>
  <c r="D46" i="15"/>
  <c r="J97" i="15" s="1"/>
  <c r="L43" i="15"/>
  <c r="L44" i="15" s="1"/>
  <c r="K43" i="15"/>
  <c r="K44" i="15" s="1"/>
  <c r="J43" i="15"/>
  <c r="J44" i="15" s="1"/>
  <c r="AT93" i="15" s="1"/>
  <c r="I43" i="15"/>
  <c r="I44" i="15" s="1"/>
  <c r="H43" i="15"/>
  <c r="H44" i="15" s="1"/>
  <c r="AJ93" i="15" s="1"/>
  <c r="G43" i="15"/>
  <c r="G44" i="15" s="1"/>
  <c r="F43" i="15"/>
  <c r="F44" i="15" s="1"/>
  <c r="E43" i="15"/>
  <c r="E44" i="15" s="1"/>
  <c r="U93" i="15" s="1"/>
  <c r="D43" i="15"/>
  <c r="D44" i="15" s="1"/>
  <c r="J93" i="15" s="1"/>
  <c r="L42" i="15"/>
  <c r="K42" i="15"/>
  <c r="J42" i="15"/>
  <c r="I42" i="15"/>
  <c r="H42" i="15"/>
  <c r="G42" i="15"/>
  <c r="F42" i="15"/>
  <c r="E42" i="15"/>
  <c r="D42" i="15"/>
  <c r="L30" i="15"/>
  <c r="K30" i="15"/>
  <c r="J30" i="15"/>
  <c r="AT92" i="15" s="1"/>
  <c r="I30" i="15"/>
  <c r="AO92" i="15" s="1"/>
  <c r="H30" i="15"/>
  <c r="AJ92" i="15" s="1"/>
  <c r="G30" i="15"/>
  <c r="AE92" i="15" s="1"/>
  <c r="F30" i="15"/>
  <c r="E30" i="15"/>
  <c r="U92" i="15" s="1"/>
  <c r="D30" i="15"/>
  <c r="J92" i="15" s="1"/>
  <c r="AK91" i="15" l="1"/>
  <c r="X95" i="15"/>
  <c r="AR95" i="15"/>
  <c r="X90" i="15"/>
  <c r="K75" i="15"/>
  <c r="R90" i="15"/>
  <c r="AC90" i="15"/>
  <c r="AF91" i="15"/>
  <c r="AS97" i="15"/>
  <c r="E131" i="5"/>
  <c r="E119" i="5"/>
  <c r="E89" i="5"/>
  <c r="G119" i="5"/>
  <c r="G89" i="5"/>
  <c r="G131" i="5"/>
  <c r="AR91" i="15"/>
  <c r="L95" i="15"/>
  <c r="AK95" i="15"/>
  <c r="F131" i="5"/>
  <c r="D119" i="5"/>
  <c r="F119" i="5"/>
  <c r="F89" i="5"/>
  <c r="D131" i="5"/>
  <c r="H119" i="5"/>
  <c r="H89" i="5"/>
  <c r="H131" i="5"/>
  <c r="J98" i="15"/>
  <c r="E29" i="2" s="1"/>
  <c r="K76" i="15"/>
  <c r="K99" i="15" s="1"/>
  <c r="F79" i="2" s="1"/>
  <c r="V98" i="15"/>
  <c r="Q29" i="2" s="1"/>
  <c r="AS98" i="15"/>
  <c r="AN29" i="2" s="1"/>
  <c r="AA98" i="15"/>
  <c r="V29" i="2" s="1"/>
  <c r="N91" i="15"/>
  <c r="X94" i="15"/>
  <c r="AQ94" i="15"/>
  <c r="AI98" i="15"/>
  <c r="AD29" i="2" s="1"/>
  <c r="K77" i="15"/>
  <c r="O98" i="15"/>
  <c r="J29" i="2" s="1"/>
  <c r="AD98" i="15"/>
  <c r="Y29" i="2" s="1"/>
  <c r="AP98" i="15"/>
  <c r="AK29" i="2" s="1"/>
  <c r="G98" i="15"/>
  <c r="AQ98" i="15"/>
  <c r="AL29" i="2" s="1"/>
  <c r="Y98" i="15"/>
  <c r="T29" i="2" s="1"/>
  <c r="X98" i="15"/>
  <c r="S29" i="2" s="1"/>
  <c r="AR98" i="15"/>
  <c r="AM29" i="2" s="1"/>
  <c r="AM97" i="15"/>
  <c r="AC95" i="15"/>
  <c r="S95" i="15"/>
  <c r="AD95" i="15"/>
  <c r="AN95" i="15"/>
  <c r="Y95" i="15"/>
  <c r="AG95" i="15"/>
  <c r="AS95" i="15"/>
  <c r="AL97" i="15"/>
  <c r="AR97" i="15"/>
  <c r="P72" i="15"/>
  <c r="V95" i="15"/>
  <c r="AA95" i="15"/>
  <c r="AF95" i="15"/>
  <c r="AL95" i="15"/>
  <c r="AP95" i="15"/>
  <c r="AI97" i="15"/>
  <c r="Q72" i="15"/>
  <c r="W95" i="15"/>
  <c r="AB95" i="15"/>
  <c r="AH95" i="15"/>
  <c r="AM95" i="15"/>
  <c r="AQ95" i="15"/>
  <c r="Z97" i="15"/>
  <c r="P91" i="15"/>
  <c r="K91" i="15"/>
  <c r="R91" i="15"/>
  <c r="L91" i="15"/>
  <c r="S91" i="15"/>
  <c r="AA91" i="15"/>
  <c r="AL91" i="15"/>
  <c r="Y91" i="15"/>
  <c r="AG91" i="15"/>
  <c r="AS91" i="15"/>
  <c r="AS90" i="15"/>
  <c r="AQ92" i="15"/>
  <c r="AM92" i="15"/>
  <c r="W94" i="15"/>
  <c r="S94" i="15"/>
  <c r="AI92" i="15"/>
  <c r="P90" i="15"/>
  <c r="K90" i="15"/>
  <c r="S90" i="15"/>
  <c r="AH90" i="15"/>
  <c r="AM90" i="15"/>
  <c r="K45" i="15"/>
  <c r="M90" i="15"/>
  <c r="T90" i="15"/>
  <c r="AD90" i="15"/>
  <c r="AG90" i="15"/>
  <c r="AN90" i="15"/>
  <c r="AC94" i="15"/>
  <c r="AI94" i="15"/>
  <c r="M84" i="15"/>
  <c r="Q84" i="15"/>
  <c r="L45" i="15"/>
  <c r="O84" i="15"/>
  <c r="O90" i="15"/>
  <c r="V90" i="15"/>
  <c r="AB90" i="15"/>
  <c r="AI90" i="15"/>
  <c r="AP90" i="15"/>
  <c r="Y94" i="15"/>
  <c r="AB94" i="15"/>
  <c r="I45" i="15"/>
  <c r="AO96" i="15" s="1"/>
  <c r="AO93" i="15"/>
  <c r="AL93" i="15" s="1"/>
  <c r="H45" i="15"/>
  <c r="AJ96" i="15" s="1"/>
  <c r="G45" i="15"/>
  <c r="AE93" i="15"/>
  <c r="T93" i="15"/>
  <c r="O93" i="15"/>
  <c r="S92" i="15"/>
  <c r="O92" i="15"/>
  <c r="K92" i="15"/>
  <c r="Q92" i="15"/>
  <c r="L92" i="15"/>
  <c r="P92" i="15"/>
  <c r="T92" i="15"/>
  <c r="N92" i="15"/>
  <c r="R92" i="15"/>
  <c r="M92" i="15"/>
  <c r="Z93" i="15"/>
  <c r="Y93" i="15" s="1"/>
  <c r="F45" i="15"/>
  <c r="K100" i="15"/>
  <c r="F4" i="2" s="1"/>
  <c r="K79" i="15"/>
  <c r="K78" i="15"/>
  <c r="P97" i="15"/>
  <c r="R93" i="15"/>
  <c r="N93" i="15"/>
  <c r="E45" i="15"/>
  <c r="J45" i="15"/>
  <c r="O72" i="15"/>
  <c r="N84" i="15"/>
  <c r="AH92" i="15"/>
  <c r="AN92" i="15"/>
  <c r="AS92" i="15"/>
  <c r="M93" i="15"/>
  <c r="S93" i="15"/>
  <c r="N94" i="15"/>
  <c r="AP94" i="15"/>
  <c r="AR94" i="15"/>
  <c r="Q95" i="15"/>
  <c r="M95" i="15"/>
  <c r="P95" i="15"/>
  <c r="K95" i="15"/>
  <c r="R95" i="15"/>
  <c r="AK97" i="15"/>
  <c r="Q94" i="15"/>
  <c r="M94" i="15"/>
  <c r="O94" i="15"/>
  <c r="T94" i="15"/>
  <c r="AL94" i="15"/>
  <c r="AM94" i="15"/>
  <c r="S97" i="15"/>
  <c r="O97" i="15"/>
  <c r="K97" i="15"/>
  <c r="T97" i="15"/>
  <c r="N97" i="15"/>
  <c r="J72" i="15"/>
  <c r="Q97" i="15"/>
  <c r="AF97" i="15"/>
  <c r="Q98" i="15"/>
  <c r="L29" i="2" s="1"/>
  <c r="S98" i="15"/>
  <c r="N29" i="2" s="1"/>
  <c r="AK98" i="15"/>
  <c r="AF29" i="2" s="1"/>
  <c r="AM98" i="15"/>
  <c r="AH29" i="2" s="1"/>
  <c r="W91" i="15"/>
  <c r="AB91" i="15"/>
  <c r="AH91" i="15"/>
  <c r="AM91" i="15"/>
  <c r="AQ91" i="15"/>
  <c r="Z92" i="15"/>
  <c r="AF92" i="15"/>
  <c r="AK92" i="15"/>
  <c r="AP92" i="15"/>
  <c r="K93" i="15"/>
  <c r="P93" i="15"/>
  <c r="K94" i="15"/>
  <c r="P94" i="15"/>
  <c r="AH94" i="15"/>
  <c r="AG94" i="15"/>
  <c r="AK94" i="15"/>
  <c r="AS94" i="15"/>
  <c r="N95" i="15"/>
  <c r="T95" i="15"/>
  <c r="L97" i="15"/>
  <c r="R97" i="15"/>
  <c r="AG97" i="15"/>
  <c r="AN97" i="15"/>
  <c r="M98" i="15"/>
  <c r="H29" i="2" s="1"/>
  <c r="N98" i="15"/>
  <c r="I29" i="2" s="1"/>
  <c r="R98" i="15"/>
  <c r="M29" i="2" s="1"/>
  <c r="AG98" i="15"/>
  <c r="AB29" i="2" s="1"/>
  <c r="AH98" i="15"/>
  <c r="AC29" i="2" s="1"/>
  <c r="AL98" i="15"/>
  <c r="AG29" i="2" s="1"/>
  <c r="L84" i="15"/>
  <c r="P84" i="15"/>
  <c r="D45" i="15"/>
  <c r="AQ97" i="15"/>
  <c r="M72" i="15"/>
  <c r="L90" i="15"/>
  <c r="Q90" i="15"/>
  <c r="W90" i="15"/>
  <c r="AA90" i="15"/>
  <c r="AF90" i="15"/>
  <c r="AK90" i="15"/>
  <c r="AQ90" i="15"/>
  <c r="Q91" i="15"/>
  <c r="M91" i="15"/>
  <c r="O91" i="15"/>
  <c r="T91" i="15"/>
  <c r="X91" i="15"/>
  <c r="AD91" i="15"/>
  <c r="AI91" i="15"/>
  <c r="AN91" i="15"/>
  <c r="V92" i="15"/>
  <c r="AG92" i="15"/>
  <c r="AL92" i="15"/>
  <c r="AR92" i="15"/>
  <c r="L93" i="15"/>
  <c r="Q93" i="15"/>
  <c r="L94" i="15"/>
  <c r="R94" i="15"/>
  <c r="V94" i="15"/>
  <c r="AA94" i="15"/>
  <c r="AF94" i="15"/>
  <c r="AN94" i="15"/>
  <c r="O95" i="15"/>
  <c r="M97" i="15"/>
  <c r="AH97" i="15"/>
  <c r="AP97" i="15"/>
  <c r="I98" i="15"/>
  <c r="D29" i="2" s="1"/>
  <c r="H98" i="15"/>
  <c r="L98" i="15"/>
  <c r="G29" i="2" s="1"/>
  <c r="T98" i="15"/>
  <c r="O29" i="2" s="1"/>
  <c r="AC98" i="15"/>
  <c r="X29" i="2" s="1"/>
  <c r="AB98" i="15"/>
  <c r="W29" i="2" s="1"/>
  <c r="W98" i="15"/>
  <c r="R29" i="2" s="1"/>
  <c r="AF98" i="15"/>
  <c r="AA29" i="2" s="1"/>
  <c r="AN98" i="15"/>
  <c r="AI29" i="2" s="1"/>
  <c r="R72" i="15"/>
  <c r="N90" i="15"/>
  <c r="L72" i="15" l="1"/>
  <c r="V97" i="15"/>
  <c r="D68" i="15"/>
  <c r="C29" i="2"/>
  <c r="AC97" i="15"/>
  <c r="H76" i="15"/>
  <c r="X97" i="15"/>
  <c r="Y97" i="15"/>
  <c r="AD97" i="15"/>
  <c r="W97" i="15"/>
  <c r="AB97" i="15"/>
  <c r="AA97" i="15"/>
  <c r="Q71" i="15"/>
  <c r="AP93" i="15"/>
  <c r="AN93" i="15"/>
  <c r="W93" i="15"/>
  <c r="P71" i="15"/>
  <c r="X93" i="15"/>
  <c r="AR93" i="15"/>
  <c r="AQ93" i="15"/>
  <c r="AM93" i="15"/>
  <c r="AK93" i="15"/>
  <c r="AS93" i="15"/>
  <c r="AA92" i="15"/>
  <c r="AB92" i="15"/>
  <c r="AD92" i="15"/>
  <c r="Y92" i="15"/>
  <c r="AC92" i="15"/>
  <c r="X92" i="15"/>
  <c r="AT96" i="15"/>
  <c r="R71" i="15"/>
  <c r="O71" i="15"/>
  <c r="AE96" i="15"/>
  <c r="W92" i="15"/>
  <c r="K72" i="15"/>
  <c r="U96" i="15"/>
  <c r="M71" i="15"/>
  <c r="AR96" i="15"/>
  <c r="AN96" i="15"/>
  <c r="AK96" i="15"/>
  <c r="AM96" i="15"/>
  <c r="AL96" i="15"/>
  <c r="H77" i="15"/>
  <c r="J71" i="15"/>
  <c r="J96" i="15"/>
  <c r="K101" i="15"/>
  <c r="Z96" i="15"/>
  <c r="N71" i="15"/>
  <c r="K102" i="15"/>
  <c r="AD93" i="15"/>
  <c r="AB93" i="15"/>
  <c r="AA93" i="15"/>
  <c r="AC93" i="15"/>
  <c r="V93" i="15"/>
  <c r="AH93" i="15"/>
  <c r="AG93" i="15"/>
  <c r="AF93" i="15"/>
  <c r="AI93" i="15"/>
  <c r="AP96" i="15" l="1"/>
  <c r="G175" i="15"/>
  <c r="F104" i="2"/>
  <c r="G176" i="15"/>
  <c r="F54" i="2"/>
  <c r="C119" i="5"/>
  <c r="C131" i="5"/>
  <c r="K103" i="15"/>
  <c r="G177" i="15" s="1"/>
  <c r="K71" i="15"/>
  <c r="O76" i="15" s="1"/>
  <c r="AQ96" i="15"/>
  <c r="AB96" i="15"/>
  <c r="AD96" i="15"/>
  <c r="AC96" i="15"/>
  <c r="AA96" i="15"/>
  <c r="Q77" i="15"/>
  <c r="N77" i="15"/>
  <c r="P77" i="15"/>
  <c r="O77" i="15"/>
  <c r="H100" i="15"/>
  <c r="H79" i="15"/>
  <c r="J77" i="15"/>
  <c r="I77" i="15"/>
  <c r="M77" i="15"/>
  <c r="I76" i="15"/>
  <c r="H99" i="15"/>
  <c r="J76" i="15"/>
  <c r="H78" i="15"/>
  <c r="AS96" i="15"/>
  <c r="AF96" i="15"/>
  <c r="AI96" i="15"/>
  <c r="AH96" i="15"/>
  <c r="AG96" i="15"/>
  <c r="R77" i="15"/>
  <c r="T96" i="15"/>
  <c r="P96" i="15"/>
  <c r="L96" i="15"/>
  <c r="S96" i="15"/>
  <c r="N96" i="15"/>
  <c r="O96" i="15"/>
  <c r="M96" i="15"/>
  <c r="R96" i="15"/>
  <c r="K96" i="15"/>
  <c r="Q96" i="15"/>
  <c r="X96" i="15"/>
  <c r="Y96" i="15"/>
  <c r="V96" i="15"/>
  <c r="W96" i="15"/>
  <c r="L77" i="15"/>
  <c r="L71" i="15" l="1"/>
  <c r="H102" i="15"/>
  <c r="C4" i="2"/>
  <c r="F135" i="5"/>
  <c r="H135" i="5"/>
  <c r="E135" i="5"/>
  <c r="C135" i="5"/>
  <c r="G135" i="5"/>
  <c r="D135" i="5"/>
  <c r="C123" i="5"/>
  <c r="F123" i="5"/>
  <c r="H123" i="5"/>
  <c r="G123" i="5"/>
  <c r="E123" i="5"/>
  <c r="D123" i="5"/>
  <c r="H101" i="15"/>
  <c r="C79" i="2"/>
  <c r="M76" i="15"/>
  <c r="N82" i="15" s="1"/>
  <c r="R76" i="15"/>
  <c r="AT99" i="15" s="1"/>
  <c r="L82" i="15"/>
  <c r="L76" i="15"/>
  <c r="L78" i="15" s="1"/>
  <c r="P76" i="15"/>
  <c r="P78" i="15" s="1"/>
  <c r="N76" i="15"/>
  <c r="O82" i="15" s="1"/>
  <c r="Q76" i="15"/>
  <c r="AO99" i="15" s="1"/>
  <c r="AJ79" i="2" s="1"/>
  <c r="L79" i="15"/>
  <c r="P100" i="15"/>
  <c r="K4" i="2" s="1"/>
  <c r="Z99" i="15"/>
  <c r="U79" i="2" s="1"/>
  <c r="U100" i="15"/>
  <c r="P4" i="2" s="1"/>
  <c r="M79" i="15"/>
  <c r="Z100" i="15"/>
  <c r="U4" i="2" s="1"/>
  <c r="N79" i="15"/>
  <c r="AE99" i="15"/>
  <c r="Z79" i="2" s="1"/>
  <c r="O78" i="15"/>
  <c r="AT100" i="15"/>
  <c r="R79" i="15"/>
  <c r="J99" i="15"/>
  <c r="J78" i="15"/>
  <c r="I100" i="15"/>
  <c r="I79" i="15"/>
  <c r="AE100" i="15"/>
  <c r="Z4" i="2" s="1"/>
  <c r="P82" i="15"/>
  <c r="O79" i="15"/>
  <c r="Q79" i="15"/>
  <c r="AO100" i="15"/>
  <c r="AJ4" i="2" s="1"/>
  <c r="J100" i="15"/>
  <c r="J79" i="15"/>
  <c r="K82" i="15"/>
  <c r="I99" i="15"/>
  <c r="I78" i="15"/>
  <c r="P79" i="15"/>
  <c r="AJ100" i="15"/>
  <c r="AE4" i="2" s="1"/>
  <c r="J101" i="15" l="1"/>
  <c r="E79" i="2"/>
  <c r="D175" i="15"/>
  <c r="C104" i="2"/>
  <c r="C120" i="5" s="1"/>
  <c r="I102" i="15"/>
  <c r="D4" i="2"/>
  <c r="I101" i="15"/>
  <c r="D79" i="2"/>
  <c r="H103" i="15"/>
  <c r="D177" i="15" s="1"/>
  <c r="AT101" i="15"/>
  <c r="AT103" i="15" s="1"/>
  <c r="AP177" i="15" s="1"/>
  <c r="AO79" i="2"/>
  <c r="J102" i="15"/>
  <c r="E4" i="2"/>
  <c r="AT102" i="15"/>
  <c r="AO4" i="2"/>
  <c r="D176" i="15"/>
  <c r="C54" i="2"/>
  <c r="N78" i="15"/>
  <c r="M85" i="15" s="1"/>
  <c r="R78" i="15"/>
  <c r="Q85" i="15" s="1"/>
  <c r="M82" i="15"/>
  <c r="M83" i="15" s="1"/>
  <c r="L83" i="15"/>
  <c r="M78" i="15"/>
  <c r="L85" i="15" s="1"/>
  <c r="Q78" i="15"/>
  <c r="P85" i="15" s="1"/>
  <c r="N85" i="15"/>
  <c r="AJ99" i="15"/>
  <c r="U99" i="15"/>
  <c r="P99" i="15"/>
  <c r="K79" i="2" s="1"/>
  <c r="Q82" i="15"/>
  <c r="Q83" i="15" s="1"/>
  <c r="P83" i="15"/>
  <c r="O83" i="15"/>
  <c r="N83" i="15"/>
  <c r="AA100" i="15"/>
  <c r="Z102" i="15"/>
  <c r="AC100" i="15"/>
  <c r="AB100" i="15"/>
  <c r="AD100" i="15"/>
  <c r="O85" i="15"/>
  <c r="AP99" i="15"/>
  <c r="AS99" i="15"/>
  <c r="AO101" i="15"/>
  <c r="AR99" i="15"/>
  <c r="AQ99" i="15"/>
  <c r="AD99" i="15"/>
  <c r="Z101" i="15"/>
  <c r="AC99" i="15"/>
  <c r="AB99" i="15"/>
  <c r="AA99" i="15"/>
  <c r="S100" i="15"/>
  <c r="R100" i="15"/>
  <c r="Q100" i="15"/>
  <c r="P102" i="15"/>
  <c r="T100" i="15"/>
  <c r="M100" i="15"/>
  <c r="L100" i="15"/>
  <c r="O100" i="15"/>
  <c r="N100" i="15"/>
  <c r="AM100" i="15"/>
  <c r="AJ102" i="15"/>
  <c r="AN100" i="15"/>
  <c r="AL100" i="15"/>
  <c r="AK100" i="15"/>
  <c r="I103" i="15"/>
  <c r="E177" i="15" s="1"/>
  <c r="AO102" i="15"/>
  <c r="AQ100" i="15"/>
  <c r="AS100" i="15"/>
  <c r="AR100" i="15"/>
  <c r="AP100" i="15"/>
  <c r="AI100" i="15"/>
  <c r="AE102" i="15"/>
  <c r="AH100" i="15"/>
  <c r="AG100" i="15"/>
  <c r="AF100" i="15"/>
  <c r="AE101" i="15"/>
  <c r="U102" i="15"/>
  <c r="W100" i="15"/>
  <c r="X100" i="15"/>
  <c r="V100" i="15"/>
  <c r="Y100" i="15"/>
  <c r="J103" i="15" l="1"/>
  <c r="F177" i="15" s="1"/>
  <c r="AA175" i="15"/>
  <c r="Z104" i="2"/>
  <c r="AR102" i="15"/>
  <c r="AM4" i="2"/>
  <c r="L102" i="15"/>
  <c r="G4" i="2"/>
  <c r="AA101" i="15"/>
  <c r="V79" i="2"/>
  <c r="AS101" i="15"/>
  <c r="AN79" i="2"/>
  <c r="Y102" i="15"/>
  <c r="T4" i="2"/>
  <c r="Q176" i="15"/>
  <c r="P54" i="2"/>
  <c r="AG102" i="15"/>
  <c r="AB4" i="2"/>
  <c r="AP102" i="15"/>
  <c r="AK4" i="2"/>
  <c r="AK176" i="15"/>
  <c r="AJ54" i="2"/>
  <c r="AN102" i="15"/>
  <c r="AI4" i="2"/>
  <c r="O102" i="15"/>
  <c r="J4" i="2"/>
  <c r="L176" i="15"/>
  <c r="K54" i="2"/>
  <c r="V175" i="15"/>
  <c r="U104" i="2"/>
  <c r="AK175" i="15"/>
  <c r="AJ104" i="2"/>
  <c r="AD102" i="15"/>
  <c r="Y4" i="2"/>
  <c r="AA102" i="15"/>
  <c r="V4" i="2"/>
  <c r="F176" i="15"/>
  <c r="E54" i="2"/>
  <c r="AH102" i="15"/>
  <c r="AC4" i="2"/>
  <c r="AF176" i="15"/>
  <c r="AE54" i="2"/>
  <c r="AD101" i="15"/>
  <c r="Y79" i="2"/>
  <c r="E175" i="15"/>
  <c r="D104" i="2"/>
  <c r="X102" i="15"/>
  <c r="S4" i="2"/>
  <c r="AA176" i="15"/>
  <c r="Z54" i="2"/>
  <c r="AS102" i="15"/>
  <c r="AN4" i="2"/>
  <c r="AK102" i="15"/>
  <c r="AF4" i="2"/>
  <c r="AM102" i="15"/>
  <c r="AH4" i="2"/>
  <c r="M102" i="15"/>
  <c r="H4" i="2"/>
  <c r="R102" i="15"/>
  <c r="M4" i="2"/>
  <c r="AB101" i="15"/>
  <c r="AB103" i="15" s="1"/>
  <c r="X177" i="15" s="1"/>
  <c r="W79" i="2"/>
  <c r="AQ101" i="15"/>
  <c r="AQ103" i="15" s="1"/>
  <c r="AM177" i="15" s="1"/>
  <c r="AL79" i="2"/>
  <c r="AP101" i="15"/>
  <c r="AP103" i="15" s="1"/>
  <c r="AL177" i="15" s="1"/>
  <c r="AK79" i="2"/>
  <c r="AC102" i="15"/>
  <c r="X4" i="2"/>
  <c r="Y99" i="15"/>
  <c r="P79" i="2"/>
  <c r="AP176" i="15"/>
  <c r="AO54" i="2"/>
  <c r="AP175" i="15"/>
  <c r="AO104" i="2"/>
  <c r="H120" i="5" s="1"/>
  <c r="V102" i="15"/>
  <c r="Q4" i="2"/>
  <c r="Q102" i="15"/>
  <c r="L4" i="2"/>
  <c r="AB102" i="15"/>
  <c r="W4" i="2"/>
  <c r="W102" i="15"/>
  <c r="R4" i="2"/>
  <c r="AF102" i="15"/>
  <c r="AA4" i="2"/>
  <c r="AI102" i="15"/>
  <c r="AD4" i="2"/>
  <c r="AQ102" i="15"/>
  <c r="AL4" i="2"/>
  <c r="AL102" i="15"/>
  <c r="AG4" i="2"/>
  <c r="N102" i="15"/>
  <c r="I4" i="2"/>
  <c r="T102" i="15"/>
  <c r="O4" i="2"/>
  <c r="S102" i="15"/>
  <c r="N4" i="2"/>
  <c r="AC101" i="15"/>
  <c r="AC103" i="15" s="1"/>
  <c r="Y177" i="15" s="1"/>
  <c r="X79" i="2"/>
  <c r="AR101" i="15"/>
  <c r="AM79" i="2"/>
  <c r="V176" i="15"/>
  <c r="U54" i="2"/>
  <c r="AM99" i="15"/>
  <c r="AE79" i="2"/>
  <c r="E176" i="15"/>
  <c r="D54" i="2"/>
  <c r="F175" i="15"/>
  <c r="E104" i="2"/>
  <c r="AE103" i="15"/>
  <c r="AA177" i="15" s="1"/>
  <c r="Z103" i="15"/>
  <c r="V177" i="15" s="1"/>
  <c r="W99" i="15"/>
  <c r="V99" i="15"/>
  <c r="N87" i="15"/>
  <c r="S99" i="15"/>
  <c r="P87" i="15"/>
  <c r="L87" i="15"/>
  <c r="L86" i="15"/>
  <c r="M99" i="15"/>
  <c r="R99" i="15"/>
  <c r="X99" i="15"/>
  <c r="U101" i="15"/>
  <c r="AN99" i="15"/>
  <c r="O99" i="15"/>
  <c r="O86" i="15"/>
  <c r="P101" i="15"/>
  <c r="P86" i="15"/>
  <c r="N86" i="15"/>
  <c r="Q99" i="15"/>
  <c r="L99" i="15"/>
  <c r="T99" i="15"/>
  <c r="AF99" i="15"/>
  <c r="AH99" i="15"/>
  <c r="AL99" i="15"/>
  <c r="AG99" i="15"/>
  <c r="AK99" i="15"/>
  <c r="AJ101" i="15"/>
  <c r="AI99" i="15"/>
  <c r="N99" i="15"/>
  <c r="O87" i="15"/>
  <c r="Q86" i="15"/>
  <c r="Q87" i="15"/>
  <c r="M87" i="15"/>
  <c r="AO103" i="15"/>
  <c r="AK177" i="15" s="1"/>
  <c r="M86" i="15"/>
  <c r="AS103" i="15"/>
  <c r="AO177" i="15" s="1"/>
  <c r="AK101" i="15" l="1"/>
  <c r="AF79" i="2"/>
  <c r="AF101" i="15"/>
  <c r="AA79" i="2"/>
  <c r="R101" i="15"/>
  <c r="M79" i="2"/>
  <c r="Z176" i="15"/>
  <c r="Y54" i="2"/>
  <c r="K176" i="15"/>
  <c r="J54" i="2"/>
  <c r="W175" i="15"/>
  <c r="V104" i="2"/>
  <c r="AI101" i="15"/>
  <c r="AD79" i="2"/>
  <c r="AL101" i="15"/>
  <c r="AG79" i="2"/>
  <c r="P103" i="15"/>
  <c r="L177" i="15" s="1"/>
  <c r="L175" i="15"/>
  <c r="K104" i="2"/>
  <c r="E120" i="5" s="1"/>
  <c r="U103" i="15"/>
  <c r="Q177" i="15" s="1"/>
  <c r="Q175" i="15"/>
  <c r="P104" i="2"/>
  <c r="AD103" i="15"/>
  <c r="Z177" i="15" s="1"/>
  <c r="AJ103" i="15"/>
  <c r="AF177" i="15" s="1"/>
  <c r="AF175" i="15"/>
  <c r="AE104" i="2"/>
  <c r="G120" i="5" s="1"/>
  <c r="AH101" i="15"/>
  <c r="AC79" i="2"/>
  <c r="Q101" i="15"/>
  <c r="L79" i="2"/>
  <c r="X101" i="15"/>
  <c r="S79" i="2"/>
  <c r="V101" i="15"/>
  <c r="Q79" i="2"/>
  <c r="AA103" i="15"/>
  <c r="W177" i="15" s="1"/>
  <c r="Y175" i="15"/>
  <c r="X104" i="2"/>
  <c r="P176" i="15"/>
  <c r="O54" i="2"/>
  <c r="AH176" i="15"/>
  <c r="AG54" i="2"/>
  <c r="AE176" i="15"/>
  <c r="AD54" i="2"/>
  <c r="S176" i="15"/>
  <c r="R54" i="2"/>
  <c r="M176" i="15"/>
  <c r="L54" i="2"/>
  <c r="Y101" i="15"/>
  <c r="T79" i="2"/>
  <c r="AL175" i="15"/>
  <c r="AK104" i="2"/>
  <c r="X175" i="15"/>
  <c r="W104" i="2"/>
  <c r="I176" i="15"/>
  <c r="H54" i="2"/>
  <c r="AG176" i="15"/>
  <c r="AF54" i="2"/>
  <c r="F120" i="5"/>
  <c r="D120" i="5"/>
  <c r="D124" i="5" s="1"/>
  <c r="W101" i="15"/>
  <c r="R79" i="2"/>
  <c r="AC176" i="15"/>
  <c r="AB54" i="2"/>
  <c r="U176" i="15"/>
  <c r="T54" i="2"/>
  <c r="AG101" i="15"/>
  <c r="AB79" i="2"/>
  <c r="T101" i="15"/>
  <c r="O79" i="2"/>
  <c r="AN101" i="15"/>
  <c r="AI79" i="2"/>
  <c r="M101" i="15"/>
  <c r="H79" i="2"/>
  <c r="S101" i="15"/>
  <c r="N79" i="2"/>
  <c r="AM101" i="15"/>
  <c r="AH79" i="2"/>
  <c r="AN175" i="15"/>
  <c r="AM104" i="2"/>
  <c r="O176" i="15"/>
  <c r="N54" i="2"/>
  <c r="J176" i="15"/>
  <c r="I54" i="2"/>
  <c r="AM176" i="15"/>
  <c r="AL54" i="2"/>
  <c r="AB176" i="15"/>
  <c r="AA54" i="2"/>
  <c r="X176" i="15"/>
  <c r="W54" i="2"/>
  <c r="R176" i="15"/>
  <c r="Q54" i="2"/>
  <c r="Y176" i="15"/>
  <c r="X54" i="2"/>
  <c r="AM175" i="15"/>
  <c r="AL104" i="2"/>
  <c r="N176" i="15"/>
  <c r="M54" i="2"/>
  <c r="AI176" i="15"/>
  <c r="AH54" i="2"/>
  <c r="AO176" i="15"/>
  <c r="AN54" i="2"/>
  <c r="T176" i="15"/>
  <c r="S54" i="2"/>
  <c r="Z175" i="15"/>
  <c r="Y104" i="2"/>
  <c r="AD176" i="15"/>
  <c r="AC54" i="2"/>
  <c r="O101" i="15"/>
  <c r="J79" i="2"/>
  <c r="AN176" i="15"/>
  <c r="AM54" i="2"/>
  <c r="N101" i="15"/>
  <c r="I79" i="2"/>
  <c r="L101" i="15"/>
  <c r="G79" i="2"/>
  <c r="AR103" i="15"/>
  <c r="AN177" i="15" s="1"/>
  <c r="F122" i="5"/>
  <c r="H122" i="5"/>
  <c r="C122" i="5"/>
  <c r="E122" i="5"/>
  <c r="D122" i="5"/>
  <c r="G122" i="5"/>
  <c r="H124" i="5"/>
  <c r="C124" i="5"/>
  <c r="W176" i="15"/>
  <c r="V54" i="2"/>
  <c r="AJ176" i="15"/>
  <c r="AI54" i="2"/>
  <c r="AL176" i="15"/>
  <c r="AK54" i="2"/>
  <c r="AO175" i="15"/>
  <c r="AN104" i="2"/>
  <c r="H176" i="15"/>
  <c r="G54" i="2"/>
  <c r="AZ104" i="2"/>
  <c r="AY104" i="2"/>
  <c r="AX104" i="2"/>
  <c r="AW104" i="2"/>
  <c r="AV104" i="2"/>
  <c r="AU104" i="2"/>
  <c r="AT104" i="2"/>
  <c r="AS104" i="2"/>
  <c r="AR104" i="2"/>
  <c r="AQ104" i="2"/>
  <c r="AP104" i="2"/>
  <c r="AT98" i="14"/>
  <c r="AS98" i="14"/>
  <c r="AR98" i="14"/>
  <c r="AO98" i="14"/>
  <c r="AQ98" i="14" s="1"/>
  <c r="AN98" i="14"/>
  <c r="AL98" i="14"/>
  <c r="AJ98" i="14"/>
  <c r="AM98" i="14" s="1"/>
  <c r="AH98" i="14"/>
  <c r="AG98" i="14"/>
  <c r="AE98" i="14"/>
  <c r="AI98" i="14" s="1"/>
  <c r="AD98" i="14"/>
  <c r="AC98" i="14"/>
  <c r="Z98" i="14"/>
  <c r="AA98" i="14" s="1"/>
  <c r="Y98" i="14"/>
  <c r="X98" i="14"/>
  <c r="U98" i="14"/>
  <c r="T98" i="14"/>
  <c r="R98" i="14"/>
  <c r="P98" i="14"/>
  <c r="S98" i="14" s="1"/>
  <c r="N98" i="14"/>
  <c r="M98" i="14"/>
  <c r="K98" i="14"/>
  <c r="O98" i="14" s="1"/>
  <c r="J98" i="14"/>
  <c r="I98" i="14"/>
  <c r="F98" i="14"/>
  <c r="G98" i="14" s="1"/>
  <c r="B98" i="14"/>
  <c r="AT95" i="14"/>
  <c r="AS95" i="14"/>
  <c r="AO95" i="14"/>
  <c r="AR95" i="14" s="1"/>
  <c r="AJ95" i="14"/>
  <c r="AE95" i="14"/>
  <c r="Z95" i="14"/>
  <c r="AD95" i="14" s="1"/>
  <c r="Y95" i="14"/>
  <c r="X95" i="14"/>
  <c r="U95" i="14"/>
  <c r="J95" i="14"/>
  <c r="P95" i="14" s="1"/>
  <c r="AT94" i="14"/>
  <c r="AO94" i="14"/>
  <c r="AN94" i="14"/>
  <c r="AJ94" i="14"/>
  <c r="AH94" i="14"/>
  <c r="AE94" i="14"/>
  <c r="AI94" i="14" s="1"/>
  <c r="AD94" i="14"/>
  <c r="Z94" i="14"/>
  <c r="Y94" i="14"/>
  <c r="U94" i="14"/>
  <c r="W94" i="14" s="1"/>
  <c r="J94" i="14"/>
  <c r="AT93" i="14"/>
  <c r="Z93" i="14"/>
  <c r="AJ92" i="14"/>
  <c r="B92" i="14"/>
  <c r="AT91" i="14"/>
  <c r="AS91" i="14"/>
  <c r="AR91" i="14"/>
  <c r="AP91" i="14"/>
  <c r="AO91" i="14"/>
  <c r="AQ91" i="14" s="1"/>
  <c r="AN91" i="14"/>
  <c r="AL91" i="14"/>
  <c r="AK91" i="14"/>
  <c r="AJ91" i="14"/>
  <c r="AM91" i="14" s="1"/>
  <c r="AH91" i="14"/>
  <c r="AG91" i="14"/>
  <c r="AF91" i="14"/>
  <c r="AE91" i="14"/>
  <c r="AI91" i="14" s="1"/>
  <c r="AD91" i="14"/>
  <c r="AC91" i="14"/>
  <c r="AB91" i="14"/>
  <c r="Z91" i="14"/>
  <c r="AA91" i="14" s="1"/>
  <c r="Y91" i="14"/>
  <c r="X91" i="14"/>
  <c r="V91" i="14"/>
  <c r="U91" i="14"/>
  <c r="W91" i="14" s="1"/>
  <c r="T91" i="14"/>
  <c r="R91" i="14"/>
  <c r="Q91" i="14"/>
  <c r="N91" i="14"/>
  <c r="M91" i="14"/>
  <c r="L91" i="14"/>
  <c r="J91" i="14"/>
  <c r="AT90" i="14"/>
  <c r="AO90" i="14"/>
  <c r="AJ90" i="14"/>
  <c r="AI90" i="14"/>
  <c r="AE90" i="14"/>
  <c r="AF90" i="14" s="1"/>
  <c r="AC90" i="14"/>
  <c r="Z90" i="14"/>
  <c r="U90" i="14"/>
  <c r="M90" i="14"/>
  <c r="J90" i="14"/>
  <c r="L84" i="14"/>
  <c r="H75" i="14"/>
  <c r="K74" i="14"/>
  <c r="H74" i="14"/>
  <c r="M72" i="14"/>
  <c r="N67" i="14"/>
  <c r="M67" i="14"/>
  <c r="L66" i="14"/>
  <c r="K73" i="14" s="1"/>
  <c r="K66" i="14"/>
  <c r="H73" i="14" s="1"/>
  <c r="G66" i="14"/>
  <c r="F66" i="14"/>
  <c r="E66" i="14"/>
  <c r="D66" i="14"/>
  <c r="N65" i="14"/>
  <c r="M65" i="14"/>
  <c r="I65" i="14"/>
  <c r="H65" i="14"/>
  <c r="N64" i="14"/>
  <c r="M64" i="14"/>
  <c r="I64" i="14"/>
  <c r="H64" i="14"/>
  <c r="N63" i="14"/>
  <c r="M63" i="14"/>
  <c r="I63" i="14"/>
  <c r="H63" i="14"/>
  <c r="N62" i="14"/>
  <c r="M62" i="14"/>
  <c r="I62" i="14"/>
  <c r="H62" i="14"/>
  <c r="N61" i="14"/>
  <c r="M61" i="14"/>
  <c r="I61" i="14"/>
  <c r="H61" i="14"/>
  <c r="N60" i="14"/>
  <c r="M60" i="14"/>
  <c r="I60" i="14"/>
  <c r="H60" i="14"/>
  <c r="N59" i="14"/>
  <c r="M59" i="14"/>
  <c r="I59" i="14"/>
  <c r="H59" i="14"/>
  <c r="N58" i="14"/>
  <c r="M58" i="14"/>
  <c r="I58" i="14"/>
  <c r="H58" i="14"/>
  <c r="N57" i="14"/>
  <c r="M57" i="14"/>
  <c r="I57" i="14"/>
  <c r="H57" i="14"/>
  <c r="N56" i="14"/>
  <c r="M56" i="14"/>
  <c r="I56" i="14"/>
  <c r="H56" i="14"/>
  <c r="N55" i="14"/>
  <c r="M55" i="14"/>
  <c r="I55" i="14"/>
  <c r="H55" i="14"/>
  <c r="N54" i="14"/>
  <c r="M54" i="14"/>
  <c r="I54" i="14"/>
  <c r="I67" i="14" s="1"/>
  <c r="H54" i="14"/>
  <c r="H67" i="14" s="1"/>
  <c r="L46" i="14"/>
  <c r="K46" i="14"/>
  <c r="J46" i="14"/>
  <c r="R72" i="14" s="1"/>
  <c r="I46" i="14"/>
  <c r="AO97" i="14" s="1"/>
  <c r="H46" i="14"/>
  <c r="P72" i="14" s="1"/>
  <c r="G46" i="14"/>
  <c r="AE97" i="14" s="1"/>
  <c r="F46" i="14"/>
  <c r="Z97" i="14" s="1"/>
  <c r="E46" i="14"/>
  <c r="U97" i="14" s="1"/>
  <c r="D46" i="14"/>
  <c r="J97" i="14" s="1"/>
  <c r="L44" i="14"/>
  <c r="K44" i="14"/>
  <c r="G44" i="14"/>
  <c r="L43" i="14"/>
  <c r="K43" i="14"/>
  <c r="J43" i="14"/>
  <c r="J44" i="14" s="1"/>
  <c r="I43" i="14"/>
  <c r="I44" i="14" s="1"/>
  <c r="H43" i="14"/>
  <c r="H44" i="14" s="1"/>
  <c r="G43" i="14"/>
  <c r="F43" i="14"/>
  <c r="F44" i="14" s="1"/>
  <c r="E43" i="14"/>
  <c r="E44" i="14" s="1"/>
  <c r="D43" i="14"/>
  <c r="D44" i="14" s="1"/>
  <c r="L42" i="14"/>
  <c r="K42" i="14"/>
  <c r="J42" i="14"/>
  <c r="I42" i="14"/>
  <c r="H42" i="14"/>
  <c r="G42" i="14"/>
  <c r="F42" i="14"/>
  <c r="E42" i="14"/>
  <c r="D42" i="14"/>
  <c r="L30" i="14"/>
  <c r="K30" i="14"/>
  <c r="K45" i="14" s="1"/>
  <c r="J30" i="14"/>
  <c r="J45" i="14" s="1"/>
  <c r="I30" i="14"/>
  <c r="AO92" i="14" s="1"/>
  <c r="H30" i="14"/>
  <c r="O84" i="14" s="1"/>
  <c r="G30" i="14"/>
  <c r="F30" i="14"/>
  <c r="F45" i="14" s="1"/>
  <c r="E30" i="14"/>
  <c r="U92" i="14" s="1"/>
  <c r="D30" i="14"/>
  <c r="P84" i="14" s="1"/>
  <c r="E124" i="5" l="1"/>
  <c r="F124" i="5"/>
  <c r="F126" i="5" s="1"/>
  <c r="G124" i="5"/>
  <c r="G126" i="5"/>
  <c r="T175" i="15"/>
  <c r="S104" i="2"/>
  <c r="X103" i="15"/>
  <c r="T177" i="15" s="1"/>
  <c r="AH103" i="15"/>
  <c r="AD177" i="15" s="1"/>
  <c r="AD175" i="15"/>
  <c r="AC104" i="2"/>
  <c r="AL103" i="15"/>
  <c r="AH177" i="15" s="1"/>
  <c r="AH175" i="15"/>
  <c r="AG104" i="2"/>
  <c r="AF103" i="15"/>
  <c r="AB177" i="15" s="1"/>
  <c r="AB175" i="15"/>
  <c r="AA104" i="2"/>
  <c r="H126" i="5"/>
  <c r="L103" i="15"/>
  <c r="H177" i="15" s="1"/>
  <c r="H175" i="15"/>
  <c r="G104" i="2"/>
  <c r="S103" i="15"/>
  <c r="O177" i="15" s="1"/>
  <c r="O175" i="15"/>
  <c r="N104" i="2"/>
  <c r="AN103" i="15"/>
  <c r="AJ177" i="15" s="1"/>
  <c r="AJ175" i="15"/>
  <c r="AI104" i="2"/>
  <c r="AG103" i="15"/>
  <c r="AC177" i="15" s="1"/>
  <c r="AC175" i="15"/>
  <c r="AB104" i="2"/>
  <c r="D126" i="5"/>
  <c r="V103" i="15"/>
  <c r="R177" i="15" s="1"/>
  <c r="R175" i="15"/>
  <c r="Q104" i="2"/>
  <c r="Q103" i="15"/>
  <c r="M177" i="15" s="1"/>
  <c r="M175" i="15"/>
  <c r="L104" i="2"/>
  <c r="AI103" i="15"/>
  <c r="AE177" i="15" s="1"/>
  <c r="AE175" i="15"/>
  <c r="AD104" i="2"/>
  <c r="AK103" i="15"/>
  <c r="AG177" i="15" s="1"/>
  <c r="AG175" i="15"/>
  <c r="AF104" i="2"/>
  <c r="E126" i="5"/>
  <c r="N103" i="15"/>
  <c r="J177" i="15" s="1"/>
  <c r="J175" i="15"/>
  <c r="I104" i="2"/>
  <c r="O103" i="15"/>
  <c r="K177" i="15" s="1"/>
  <c r="K175" i="15"/>
  <c r="J104" i="2"/>
  <c r="AI175" i="15"/>
  <c r="AH104" i="2"/>
  <c r="AM103" i="15"/>
  <c r="AI177" i="15" s="1"/>
  <c r="M103" i="15"/>
  <c r="I177" i="15" s="1"/>
  <c r="I175" i="15"/>
  <c r="H104" i="2"/>
  <c r="T103" i="15"/>
  <c r="P177" i="15" s="1"/>
  <c r="P175" i="15"/>
  <c r="O104" i="2"/>
  <c r="W103" i="15"/>
  <c r="S177" i="15" s="1"/>
  <c r="S175" i="15"/>
  <c r="R104" i="2"/>
  <c r="U175" i="15"/>
  <c r="T104" i="2"/>
  <c r="Y103" i="15"/>
  <c r="U177" i="15" s="1"/>
  <c r="R103" i="15"/>
  <c r="N177" i="15" s="1"/>
  <c r="N175" i="15"/>
  <c r="M104" i="2"/>
  <c r="D68" i="14"/>
  <c r="W98" i="14"/>
  <c r="H76" i="14"/>
  <c r="H99" i="14" s="1"/>
  <c r="H98" i="14"/>
  <c r="L98" i="14"/>
  <c r="Q98" i="14"/>
  <c r="V98" i="14"/>
  <c r="AB98" i="14"/>
  <c r="AF98" i="14"/>
  <c r="AK98" i="14"/>
  <c r="AP98" i="14"/>
  <c r="L97" i="14"/>
  <c r="J72" i="14"/>
  <c r="K72" i="14" s="1"/>
  <c r="S97" i="14"/>
  <c r="N72" i="14"/>
  <c r="AT97" i="14"/>
  <c r="AR97" i="14" s="1"/>
  <c r="O72" i="14"/>
  <c r="AJ97" i="14"/>
  <c r="AM97" i="14" s="1"/>
  <c r="X90" i="14"/>
  <c r="W90" i="14"/>
  <c r="Y90" i="14"/>
  <c r="R90" i="14"/>
  <c r="N94" i="14"/>
  <c r="T94" i="14"/>
  <c r="N84" i="14"/>
  <c r="AE92" i="14"/>
  <c r="G45" i="14"/>
  <c r="N90" i="14"/>
  <c r="AR90" i="14"/>
  <c r="AQ90" i="14"/>
  <c r="AM90" i="14"/>
  <c r="AS90" i="14"/>
  <c r="AL90" i="14"/>
  <c r="AS92" i="14"/>
  <c r="L45" i="14"/>
  <c r="Q84" i="14"/>
  <c r="S90" i="14"/>
  <c r="AB90" i="14"/>
  <c r="AH90" i="14"/>
  <c r="AD90" i="14"/>
  <c r="AN90" i="14"/>
  <c r="J92" i="14"/>
  <c r="N92" i="14" s="1"/>
  <c r="AT92" i="14"/>
  <c r="AA94" i="14"/>
  <c r="AM94" i="14"/>
  <c r="Z96" i="14"/>
  <c r="N71" i="14"/>
  <c r="AT96" i="14"/>
  <c r="R71" i="14"/>
  <c r="J93" i="14"/>
  <c r="D45" i="14"/>
  <c r="AJ93" i="14"/>
  <c r="H45" i="14"/>
  <c r="E45" i="14"/>
  <c r="U93" i="14"/>
  <c r="I45" i="14"/>
  <c r="AO93" i="14"/>
  <c r="O71" i="14"/>
  <c r="AE96" i="14"/>
  <c r="H78" i="14"/>
  <c r="AN92" i="14"/>
  <c r="AM95" i="14"/>
  <c r="AK95" i="14"/>
  <c r="AF95" i="14"/>
  <c r="AC97" i="14"/>
  <c r="AA97" i="14"/>
  <c r="Y97" i="14"/>
  <c r="V97" i="14"/>
  <c r="AS97" i="14"/>
  <c r="AQ97" i="14"/>
  <c r="AP97" i="14"/>
  <c r="M84" i="14"/>
  <c r="Q92" i="14"/>
  <c r="Z92" i="14"/>
  <c r="W92" i="14" s="1"/>
  <c r="AK92" i="14"/>
  <c r="AP92" i="14"/>
  <c r="AB93" i="14"/>
  <c r="AE93" i="14"/>
  <c r="S94" i="14"/>
  <c r="O94" i="14"/>
  <c r="K94" i="14"/>
  <c r="P94" i="14"/>
  <c r="AR94" i="14"/>
  <c r="AQ94" i="14"/>
  <c r="S95" i="14"/>
  <c r="O95" i="14"/>
  <c r="K95" i="14"/>
  <c r="Q95" i="14"/>
  <c r="L95" i="14"/>
  <c r="R95" i="14"/>
  <c r="AI95" i="14"/>
  <c r="AL95" i="14"/>
  <c r="N97" i="14"/>
  <c r="T97" i="14"/>
  <c r="AB97" i="14"/>
  <c r="K75" i="14"/>
  <c r="K77" i="14" s="1"/>
  <c r="E68" i="14"/>
  <c r="H77" i="14"/>
  <c r="T90" i="14"/>
  <c r="P90" i="14"/>
  <c r="L90" i="14"/>
  <c r="O90" i="14"/>
  <c r="AF92" i="14"/>
  <c r="AL92" i="14"/>
  <c r="AQ92" i="14"/>
  <c r="AA93" i="14"/>
  <c r="L94" i="14"/>
  <c r="Q94" i="14"/>
  <c r="V94" i="14"/>
  <c r="AB94" i="14"/>
  <c r="AF94" i="14"/>
  <c r="AK94" i="14"/>
  <c r="AP94" i="14"/>
  <c r="M95" i="14"/>
  <c r="T95" i="14"/>
  <c r="AA95" i="14"/>
  <c r="AB95" i="14"/>
  <c r="AG95" i="14"/>
  <c r="AN95" i="14"/>
  <c r="O97" i="14"/>
  <c r="W97" i="14"/>
  <c r="AD97" i="14"/>
  <c r="AF97" i="14"/>
  <c r="Q72" i="14"/>
  <c r="K90" i="14"/>
  <c r="Q90" i="14"/>
  <c r="V90" i="14"/>
  <c r="AA90" i="14"/>
  <c r="AG90" i="14"/>
  <c r="AK90" i="14"/>
  <c r="AP90" i="14"/>
  <c r="S91" i="14"/>
  <c r="O91" i="14"/>
  <c r="K91" i="14"/>
  <c r="P91" i="14"/>
  <c r="R92" i="14"/>
  <c r="AM92" i="14"/>
  <c r="AR92" i="14"/>
  <c r="AC93" i="14"/>
  <c r="M94" i="14"/>
  <c r="R94" i="14"/>
  <c r="X94" i="14"/>
  <c r="AC94" i="14"/>
  <c r="AG94" i="14"/>
  <c r="AL94" i="14"/>
  <c r="AS94" i="14"/>
  <c r="N95" i="14"/>
  <c r="W95" i="14"/>
  <c r="V95" i="14"/>
  <c r="AC95" i="14"/>
  <c r="AH95" i="14"/>
  <c r="AQ95" i="14"/>
  <c r="AP95" i="14"/>
  <c r="Q97" i="14"/>
  <c r="M97" i="14"/>
  <c r="P97" i="14"/>
  <c r="L72" i="14" s="1"/>
  <c r="K97" i="14"/>
  <c r="R97" i="14"/>
  <c r="X97" i="14"/>
  <c r="AH97" i="14"/>
  <c r="AL97" i="14"/>
  <c r="E10" i="7" l="1"/>
  <c r="G10" i="7"/>
  <c r="D10" i="7"/>
  <c r="F10" i="7"/>
  <c r="I10" i="7"/>
  <c r="I16" i="7" s="1"/>
  <c r="F35" i="4"/>
  <c r="G35" i="4" s="1"/>
  <c r="H101" i="14"/>
  <c r="AI97" i="14"/>
  <c r="AK97" i="14"/>
  <c r="AG97" i="14"/>
  <c r="AN97" i="14"/>
  <c r="Y92" i="14"/>
  <c r="AG92" i="14"/>
  <c r="AI92" i="14"/>
  <c r="L92" i="14"/>
  <c r="V92" i="14"/>
  <c r="T92" i="14"/>
  <c r="X92" i="14"/>
  <c r="AH92" i="14"/>
  <c r="P92" i="14"/>
  <c r="O92" i="14"/>
  <c r="S92" i="14"/>
  <c r="K92" i="14"/>
  <c r="M92" i="14"/>
  <c r="AR93" i="14"/>
  <c r="AS93" i="14"/>
  <c r="AQ93" i="14"/>
  <c r="AP93" i="14"/>
  <c r="T93" i="14"/>
  <c r="P93" i="14"/>
  <c r="L93" i="14"/>
  <c r="R93" i="14"/>
  <c r="M93" i="14"/>
  <c r="Q93" i="14"/>
  <c r="K93" i="14"/>
  <c r="O93" i="14"/>
  <c r="S93" i="14"/>
  <c r="N93" i="14"/>
  <c r="AD96" i="14"/>
  <c r="AA96" i="14"/>
  <c r="AC96" i="14"/>
  <c r="AB96" i="14"/>
  <c r="K100" i="14"/>
  <c r="P77" i="14"/>
  <c r="L77" i="14"/>
  <c r="O77" i="14"/>
  <c r="N77" i="14"/>
  <c r="R77" i="14"/>
  <c r="M77" i="14"/>
  <c r="K79" i="14"/>
  <c r="Q77" i="14"/>
  <c r="Q71" i="14"/>
  <c r="AO96" i="14"/>
  <c r="AJ96" i="14"/>
  <c r="AG96" i="14" s="1"/>
  <c r="P71" i="14"/>
  <c r="H100" i="14"/>
  <c r="J77" i="14"/>
  <c r="H79" i="14"/>
  <c r="I77" i="14"/>
  <c r="X93" i="14"/>
  <c r="W93" i="14"/>
  <c r="V93" i="14"/>
  <c r="Y93" i="14"/>
  <c r="AN93" i="14"/>
  <c r="AM93" i="14"/>
  <c r="AL93" i="14"/>
  <c r="AK93" i="14"/>
  <c r="K76" i="14"/>
  <c r="AF93" i="14"/>
  <c r="AH93" i="14"/>
  <c r="AG93" i="14"/>
  <c r="AI93" i="14"/>
  <c r="AD93" i="14"/>
  <c r="AC92" i="14"/>
  <c r="AB92" i="14"/>
  <c r="AA92" i="14"/>
  <c r="AD92" i="14"/>
  <c r="U96" i="14"/>
  <c r="M71" i="14"/>
  <c r="J96" i="14"/>
  <c r="J71" i="14"/>
  <c r="H102" i="14" l="1"/>
  <c r="H103" i="14" s="1"/>
  <c r="AI96" i="14"/>
  <c r="I100" i="14"/>
  <c r="I79" i="14"/>
  <c r="R79" i="14"/>
  <c r="AT100" i="14"/>
  <c r="P100" i="14"/>
  <c r="L79" i="14"/>
  <c r="V96" i="14"/>
  <c r="Y96" i="14"/>
  <c r="X96" i="14"/>
  <c r="W96" i="14"/>
  <c r="AL96" i="14"/>
  <c r="AK96" i="14"/>
  <c r="AN96" i="14"/>
  <c r="AM96" i="14"/>
  <c r="AO100" i="14"/>
  <c r="Q79" i="14"/>
  <c r="N79" i="14"/>
  <c r="Z100" i="14"/>
  <c r="AJ100" i="14"/>
  <c r="P79" i="14"/>
  <c r="K71" i="14"/>
  <c r="O76" i="14" s="1"/>
  <c r="AF96" i="14"/>
  <c r="J79" i="14"/>
  <c r="J100" i="14"/>
  <c r="AP96" i="14"/>
  <c r="AQ96" i="14"/>
  <c r="AS96" i="14"/>
  <c r="AR96" i="14"/>
  <c r="AE100" i="14"/>
  <c r="O79" i="14"/>
  <c r="K102" i="14"/>
  <c r="M100" i="14"/>
  <c r="O100" i="14"/>
  <c r="R96" i="14"/>
  <c r="N96" i="14"/>
  <c r="P96" i="14"/>
  <c r="L71" i="14" s="1"/>
  <c r="K96" i="14"/>
  <c r="S96" i="14"/>
  <c r="L96" i="14"/>
  <c r="Q96" i="14"/>
  <c r="O96" i="14"/>
  <c r="T96" i="14"/>
  <c r="M96" i="14"/>
  <c r="K99" i="14"/>
  <c r="P76" i="14"/>
  <c r="Q82" i="14" s="1"/>
  <c r="N76" i="14"/>
  <c r="K78" i="14"/>
  <c r="Q76" i="14"/>
  <c r="I76" i="14"/>
  <c r="J76" i="14"/>
  <c r="K82" i="14" s="1"/>
  <c r="AH96" i="14"/>
  <c r="U100" i="14"/>
  <c r="M79" i="14"/>
  <c r="J102" i="14" l="1"/>
  <c r="I102" i="14"/>
  <c r="M102" i="14"/>
  <c r="AT102" i="14"/>
  <c r="O102" i="14"/>
  <c r="L82" i="14"/>
  <c r="M76" i="14"/>
  <c r="N82" i="14" s="1"/>
  <c r="O78" i="14"/>
  <c r="N85" i="14" s="1"/>
  <c r="AE99" i="14"/>
  <c r="P82" i="14"/>
  <c r="Q78" i="14"/>
  <c r="P85" i="14" s="1"/>
  <c r="AO99" i="14"/>
  <c r="Z99" i="14"/>
  <c r="N78" i="14"/>
  <c r="M85" i="14" s="1"/>
  <c r="Q83" i="14"/>
  <c r="J78" i="14"/>
  <c r="J99" i="14"/>
  <c r="AJ99" i="14"/>
  <c r="P78" i="14"/>
  <c r="O85" i="14" s="1"/>
  <c r="AE102" i="14"/>
  <c r="AG100" i="14"/>
  <c r="AF100" i="14"/>
  <c r="AI100" i="14"/>
  <c r="AH100" i="14"/>
  <c r="AK100" i="14"/>
  <c r="AL100" i="14"/>
  <c r="AN100" i="14"/>
  <c r="AJ102" i="14"/>
  <c r="AM100" i="14"/>
  <c r="Q100" i="14"/>
  <c r="T100" i="14"/>
  <c r="P102" i="14"/>
  <c r="S100" i="14"/>
  <c r="R100" i="14"/>
  <c r="N83" i="14"/>
  <c r="I78" i="14"/>
  <c r="I99" i="14"/>
  <c r="M78" i="14"/>
  <c r="L85" i="14" s="1"/>
  <c r="U99" i="14"/>
  <c r="K101" i="14"/>
  <c r="L100" i="14"/>
  <c r="L83" i="14"/>
  <c r="L86" i="14" s="1"/>
  <c r="O82" i="14"/>
  <c r="O83" i="14" s="1"/>
  <c r="AS100" i="14"/>
  <c r="AQ100" i="14"/>
  <c r="AP100" i="14"/>
  <c r="AO102" i="14"/>
  <c r="AR100" i="14"/>
  <c r="Y100" i="14"/>
  <c r="V100" i="14"/>
  <c r="U102" i="14"/>
  <c r="X100" i="14"/>
  <c r="W100" i="14"/>
  <c r="L76" i="14"/>
  <c r="R76" i="14"/>
  <c r="N100" i="14"/>
  <c r="AC100" i="14"/>
  <c r="AA100" i="14"/>
  <c r="Z102" i="14"/>
  <c r="AD100" i="14"/>
  <c r="AB100" i="14"/>
  <c r="K103" i="14" l="1"/>
  <c r="I101" i="14"/>
  <c r="J101" i="14"/>
  <c r="AD102" i="14"/>
  <c r="N102" i="14"/>
  <c r="X102" i="14"/>
  <c r="AR102" i="14"/>
  <c r="AS102" i="14"/>
  <c r="AH102" i="14"/>
  <c r="T102" i="14"/>
  <c r="AN102" i="14"/>
  <c r="AI102" i="14"/>
  <c r="AA102" i="14"/>
  <c r="V102" i="14"/>
  <c r="AP102" i="14"/>
  <c r="R102" i="14"/>
  <c r="Q102" i="14"/>
  <c r="AL102" i="14"/>
  <c r="AF102" i="14"/>
  <c r="AB102" i="14"/>
  <c r="AC102" i="14"/>
  <c r="W102" i="14"/>
  <c r="Y102" i="14"/>
  <c r="AQ102" i="14"/>
  <c r="L102" i="14"/>
  <c r="S102" i="14"/>
  <c r="AM102" i="14"/>
  <c r="AK102" i="14"/>
  <c r="AG102" i="14"/>
  <c r="N86" i="14"/>
  <c r="O87" i="14"/>
  <c r="L87" i="14"/>
  <c r="AO101" i="14"/>
  <c r="AQ99" i="14"/>
  <c r="AP99" i="14"/>
  <c r="AF99" i="14"/>
  <c r="AE101" i="14"/>
  <c r="AH99" i="14"/>
  <c r="AG99" i="14"/>
  <c r="AI99" i="14"/>
  <c r="AT99" i="14"/>
  <c r="R78" i="14"/>
  <c r="Q85" i="14" s="1"/>
  <c r="Q87" i="14" s="1"/>
  <c r="O86" i="14"/>
  <c r="X99" i="14"/>
  <c r="W99" i="14"/>
  <c r="V99" i="14"/>
  <c r="U101" i="14"/>
  <c r="Y99" i="14"/>
  <c r="N87" i="14"/>
  <c r="P99" i="14"/>
  <c r="L78" i="14"/>
  <c r="M82" i="14"/>
  <c r="M83" i="14" s="1"/>
  <c r="M86" i="14" s="1"/>
  <c r="AN99" i="14"/>
  <c r="AJ101" i="14"/>
  <c r="AM99" i="14"/>
  <c r="AL99" i="14"/>
  <c r="AK99" i="14"/>
  <c r="Z101" i="14"/>
  <c r="AB99" i="14"/>
  <c r="AC99" i="14"/>
  <c r="AA99" i="14"/>
  <c r="AD99" i="14"/>
  <c r="P83" i="14"/>
  <c r="P86" i="14" s="1"/>
  <c r="I103" i="14" l="1"/>
  <c r="J103" i="14"/>
  <c r="AB101" i="14"/>
  <c r="AM101" i="14"/>
  <c r="U103" i="14"/>
  <c r="AG101" i="14"/>
  <c r="AP101" i="14"/>
  <c r="P87" i="14"/>
  <c r="AD101" i="14"/>
  <c r="Z103" i="14"/>
  <c r="E13" i="7"/>
  <c r="AJ103" i="14"/>
  <c r="F13" i="7"/>
  <c r="V101" i="14"/>
  <c r="AH101" i="14"/>
  <c r="AQ101" i="14"/>
  <c r="AA101" i="14"/>
  <c r="AK101" i="14"/>
  <c r="AN101" i="14"/>
  <c r="W101" i="14"/>
  <c r="AT101" i="14"/>
  <c r="AE103" i="14"/>
  <c r="AO103" i="14"/>
  <c r="AC101" i="14"/>
  <c r="AL101" i="14"/>
  <c r="Y101" i="14"/>
  <c r="X101" i="14"/>
  <c r="AI101" i="14"/>
  <c r="AF101" i="14"/>
  <c r="AR99" i="14"/>
  <c r="T99" i="14"/>
  <c r="R99" i="14"/>
  <c r="Q99" i="14"/>
  <c r="P101" i="14"/>
  <c r="S99" i="14"/>
  <c r="M99" i="14"/>
  <c r="O99" i="14"/>
  <c r="L99" i="14"/>
  <c r="N99" i="14"/>
  <c r="Q86" i="14"/>
  <c r="AS99" i="14"/>
  <c r="M87" i="14"/>
  <c r="M101" i="14" l="1"/>
  <c r="R101" i="14"/>
  <c r="AF103" i="14"/>
  <c r="X103" i="14"/>
  <c r="AL103" i="14"/>
  <c r="AT103" i="14"/>
  <c r="G12" i="7" s="1"/>
  <c r="G13" i="7"/>
  <c r="AN103" i="14"/>
  <c r="AA103" i="14"/>
  <c r="AH103" i="14"/>
  <c r="AD103" i="14"/>
  <c r="N101" i="14"/>
  <c r="S101" i="14"/>
  <c r="T101" i="14"/>
  <c r="AG103" i="14"/>
  <c r="AM103" i="14"/>
  <c r="L101" i="14"/>
  <c r="P103" i="14"/>
  <c r="D12" i="7" s="1"/>
  <c r="D13" i="7"/>
  <c r="AR101" i="14"/>
  <c r="AI103" i="14"/>
  <c r="Y103" i="14"/>
  <c r="AC103" i="14"/>
  <c r="W103" i="14"/>
  <c r="AK103" i="14"/>
  <c r="AQ103" i="14"/>
  <c r="V103" i="14"/>
  <c r="AS101" i="14"/>
  <c r="O101" i="14"/>
  <c r="Q101" i="14"/>
  <c r="AP103" i="14"/>
  <c r="AB103" i="14"/>
  <c r="D8" i="5"/>
  <c r="D9" i="5" s="1"/>
  <c r="E12" i="7"/>
  <c r="E11" i="7" s="1"/>
  <c r="F12" i="7"/>
  <c r="F11" i="7" s="1"/>
  <c r="C10" i="5"/>
  <c r="C12" i="5" s="1"/>
  <c r="C138" i="5" s="1"/>
  <c r="D89" i="5"/>
  <c r="C89" i="5"/>
  <c r="G90" i="5"/>
  <c r="F90" i="5"/>
  <c r="D90" i="5"/>
  <c r="D132" i="5" s="1"/>
  <c r="C90" i="5"/>
  <c r="F132" i="5" l="1"/>
  <c r="G132" i="5"/>
  <c r="C132" i="5"/>
  <c r="C8" i="7"/>
  <c r="G11" i="7"/>
  <c r="D11" i="7"/>
  <c r="E90" i="5"/>
  <c r="H90" i="5"/>
  <c r="Q103" i="14"/>
  <c r="AS103" i="14"/>
  <c r="AR103" i="14"/>
  <c r="L103" i="14"/>
  <c r="S103" i="14"/>
  <c r="R103" i="14"/>
  <c r="O103" i="14"/>
  <c r="T103" i="14"/>
  <c r="N103" i="14"/>
  <c r="M103" i="14"/>
  <c r="C31" i="4"/>
  <c r="G14" i="12"/>
  <c r="G15" i="12"/>
  <c r="G16" i="12"/>
  <c r="G17" i="12"/>
  <c r="G18" i="12"/>
  <c r="G19" i="12"/>
  <c r="G20" i="12"/>
  <c r="F15" i="12"/>
  <c r="F16" i="12"/>
  <c r="F17" i="12"/>
  <c r="F18" i="12"/>
  <c r="F19" i="12"/>
  <c r="F20" i="12"/>
  <c r="F14" i="12"/>
  <c r="E16" i="12"/>
  <c r="E17" i="12"/>
  <c r="E18" i="12"/>
  <c r="E19" i="12"/>
  <c r="E20" i="12"/>
  <c r="E15" i="12"/>
  <c r="E14" i="12"/>
  <c r="E132" i="5" l="1"/>
  <c r="D94" i="5"/>
  <c r="H132" i="5"/>
  <c r="D3" i="12"/>
  <c r="E3" i="12"/>
  <c r="E7" i="12" s="1"/>
  <c r="F3" i="12"/>
  <c r="G3" i="12"/>
  <c r="H3" i="12"/>
  <c r="I3" i="12"/>
  <c r="I7" i="12" s="1"/>
  <c r="J3" i="12"/>
  <c r="K3" i="12"/>
  <c r="K7" i="12" s="1"/>
  <c r="C3" i="12"/>
  <c r="C7" i="12" s="1"/>
  <c r="D7" i="12"/>
  <c r="D9" i="12" s="1"/>
  <c r="F7" i="12"/>
  <c r="G7" i="12"/>
  <c r="H7" i="12"/>
  <c r="J7" i="12"/>
  <c r="J9" i="12" s="1"/>
  <c r="L4" i="12"/>
  <c r="L5" i="12"/>
  <c r="L6" i="12"/>
  <c r="L8" i="12"/>
  <c r="D5" i="12"/>
  <c r="E5" i="12"/>
  <c r="F5" i="12"/>
  <c r="G5" i="12"/>
  <c r="H5" i="12"/>
  <c r="I5" i="12"/>
  <c r="J5" i="12"/>
  <c r="K5" i="12"/>
  <c r="C134" i="5" l="1"/>
  <c r="E136" i="5"/>
  <c r="C136" i="5"/>
  <c r="E134" i="5"/>
  <c r="E138" i="5" s="1"/>
  <c r="H134" i="5"/>
  <c r="G136" i="5"/>
  <c r="D136" i="5"/>
  <c r="F134" i="5"/>
  <c r="G134" i="5"/>
  <c r="H136" i="5"/>
  <c r="D134" i="5"/>
  <c r="F136" i="5"/>
  <c r="K9" i="12"/>
  <c r="L7" i="12"/>
  <c r="H9" i="12"/>
  <c r="G9" i="12"/>
  <c r="F9" i="12"/>
  <c r="I9" i="12"/>
  <c r="E9" i="12"/>
  <c r="L9" i="12"/>
  <c r="C5" i="12"/>
  <c r="C9" i="12" s="1"/>
  <c r="F138" i="5" l="1"/>
  <c r="D8" i="7"/>
  <c r="D138" i="5"/>
  <c r="I8" i="7" s="1"/>
  <c r="I17" i="7" s="1"/>
  <c r="H138" i="5"/>
  <c r="G138" i="5"/>
  <c r="E34" i="4"/>
  <c r="E36" i="4" s="1"/>
  <c r="B34" i="4"/>
  <c r="C96" i="5"/>
  <c r="F95" i="5"/>
  <c r="G95" i="5"/>
  <c r="E95" i="5"/>
  <c r="D95" i="5"/>
  <c r="C95" i="5"/>
  <c r="C93" i="5" s="1"/>
  <c r="C27" i="5"/>
  <c r="D27" i="5"/>
  <c r="C28" i="5"/>
  <c r="D28" i="5"/>
  <c r="E28" i="5"/>
  <c r="F28" i="5"/>
  <c r="G28" i="5"/>
  <c r="H28" i="5"/>
  <c r="I28" i="5"/>
  <c r="C29" i="5"/>
  <c r="D29" i="5"/>
  <c r="E29" i="5"/>
  <c r="F29" i="5"/>
  <c r="G29" i="5"/>
  <c r="H29" i="5"/>
  <c r="I29" i="5"/>
  <c r="C31" i="5"/>
  <c r="C9" i="7" l="1"/>
  <c r="G8" i="7"/>
  <c r="E8" i="7"/>
  <c r="F36" i="4"/>
  <c r="G36" i="4" s="1"/>
  <c r="F8" i="7"/>
  <c r="E93" i="5"/>
  <c r="H93" i="5"/>
  <c r="G93" i="5"/>
  <c r="D93" i="5"/>
  <c r="F93" i="5"/>
  <c r="AQ14" i="12"/>
  <c r="AL14" i="12"/>
  <c r="AG14" i="12"/>
  <c r="AB14" i="12"/>
  <c r="W14" i="12"/>
  <c r="R14" i="12"/>
  <c r="M14" i="12"/>
  <c r="H14" i="12"/>
  <c r="W4" i="1"/>
  <c r="AB4" i="1"/>
  <c r="AQ4" i="1"/>
  <c r="B16" i="12"/>
  <c r="B17" i="12"/>
  <c r="B18" i="12"/>
  <c r="B19" i="12"/>
  <c r="B20" i="12"/>
  <c r="AQ20" i="12"/>
  <c r="AL20" i="12"/>
  <c r="AG20" i="12"/>
  <c r="AB20" i="12"/>
  <c r="W20" i="12"/>
  <c r="Z20" i="12" s="1"/>
  <c r="R20" i="12"/>
  <c r="U20" i="12" s="1"/>
  <c r="M20" i="12"/>
  <c r="H20" i="12"/>
  <c r="AQ19" i="12"/>
  <c r="AL19" i="12"/>
  <c r="AJ19" i="12"/>
  <c r="AG19" i="12"/>
  <c r="AB19" i="12"/>
  <c r="AE19" i="12" s="1"/>
  <c r="W19" i="12"/>
  <c r="R19" i="12"/>
  <c r="M19" i="12"/>
  <c r="H19" i="12"/>
  <c r="K19" i="12" s="1"/>
  <c r="AQ18" i="12"/>
  <c r="AL18" i="12"/>
  <c r="AG18" i="12"/>
  <c r="AH18" i="12" s="1"/>
  <c r="AB18" i="12"/>
  <c r="AE18" i="12" s="1"/>
  <c r="W18" i="12"/>
  <c r="R18" i="12"/>
  <c r="M18" i="12"/>
  <c r="N18" i="12" s="1"/>
  <c r="H18" i="12"/>
  <c r="K18" i="12" s="1"/>
  <c r="AQ17" i="12"/>
  <c r="AL17" i="12"/>
  <c r="AM17" i="12" s="1"/>
  <c r="AH17" i="12"/>
  <c r="AG17" i="12"/>
  <c r="AB17" i="12"/>
  <c r="AE17" i="12" s="1"/>
  <c r="Z17" i="12"/>
  <c r="W17" i="12"/>
  <c r="R17" i="12"/>
  <c r="S17" i="12" s="1"/>
  <c r="M17" i="12"/>
  <c r="H17" i="12"/>
  <c r="AQ16" i="12"/>
  <c r="AL16" i="12"/>
  <c r="AG16" i="12"/>
  <c r="AB16" i="12"/>
  <c r="W16" i="12"/>
  <c r="X16" i="12" s="1"/>
  <c r="R16" i="12"/>
  <c r="M16" i="12"/>
  <c r="O16" i="12" s="1"/>
  <c r="H16" i="12"/>
  <c r="K16" i="12" s="1"/>
  <c r="AQ15" i="12"/>
  <c r="AL15" i="12"/>
  <c r="AG15" i="12"/>
  <c r="AB15" i="12"/>
  <c r="X15" i="12"/>
  <c r="W15" i="12"/>
  <c r="T15" i="12"/>
  <c r="R15" i="12"/>
  <c r="M15" i="12"/>
  <c r="H15" i="12"/>
  <c r="B15" i="12"/>
  <c r="B14" i="12"/>
  <c r="AE14" i="12"/>
  <c r="H16" i="5" l="1"/>
  <c r="AA19" i="12"/>
  <c r="X19" i="12"/>
  <c r="E4" i="1"/>
  <c r="T4" i="1"/>
  <c r="K15" i="12"/>
  <c r="AM15" i="12"/>
  <c r="AL4" i="1"/>
  <c r="AO15" i="12"/>
  <c r="AN15" i="12"/>
  <c r="Q17" i="12"/>
  <c r="X4" i="1"/>
  <c r="S15" i="12"/>
  <c r="R4" i="1"/>
  <c r="U15" i="12"/>
  <c r="V19" i="12"/>
  <c r="U19" i="12"/>
  <c r="T19" i="12"/>
  <c r="S19" i="12"/>
  <c r="H4" i="1"/>
  <c r="AE15" i="12"/>
  <c r="AM19" i="12"/>
  <c r="O15" i="12"/>
  <c r="AI15" i="12"/>
  <c r="K17" i="12"/>
  <c r="AA17" i="12"/>
  <c r="AD17" i="12"/>
  <c r="O19" i="12"/>
  <c r="AN19" i="12"/>
  <c r="P15" i="12"/>
  <c r="AA15" i="12"/>
  <c r="AJ15" i="12"/>
  <c r="T16" i="12"/>
  <c r="J17" i="12"/>
  <c r="X17" i="12"/>
  <c r="AK17" i="12"/>
  <c r="P19" i="12"/>
  <c r="AI19" i="12"/>
  <c r="AO19" i="12"/>
  <c r="AG4" i="1"/>
  <c r="M4" i="1"/>
  <c r="Q14" i="12"/>
  <c r="Y14" i="12"/>
  <c r="AP16" i="12"/>
  <c r="AM18" i="12"/>
  <c r="K20" i="12"/>
  <c r="AM20" i="12"/>
  <c r="I20" i="12"/>
  <c r="AA20" i="12"/>
  <c r="AE20" i="12"/>
  <c r="AO20" i="12"/>
  <c r="O20" i="12"/>
  <c r="X20" i="12"/>
  <c r="AC20" i="12"/>
  <c r="S20" i="12"/>
  <c r="Y20" i="12"/>
  <c r="AI20" i="12"/>
  <c r="Z18" i="12"/>
  <c r="S18" i="12"/>
  <c r="J18" i="12"/>
  <c r="AA18" i="12"/>
  <c r="AD18" i="12"/>
  <c r="Q18" i="12"/>
  <c r="X18" i="12"/>
  <c r="AK18" i="12"/>
  <c r="V16" i="12"/>
  <c r="S16" i="12"/>
  <c r="AE16" i="12"/>
  <c r="P16" i="12"/>
  <c r="U16" i="12"/>
  <c r="AI16" i="12"/>
  <c r="AN16" i="12"/>
  <c r="AM16" i="12"/>
  <c r="AA16" i="12"/>
  <c r="AJ16" i="12"/>
  <c r="AO16" i="12"/>
  <c r="AK14" i="12"/>
  <c r="F17" i="5"/>
  <c r="H17" i="5"/>
  <c r="E17" i="5"/>
  <c r="D17" i="5"/>
  <c r="K14" i="12"/>
  <c r="AK20" i="12"/>
  <c r="J20" i="12"/>
  <c r="L20" i="12"/>
  <c r="P20" i="12"/>
  <c r="T20" i="12"/>
  <c r="AF20" i="12"/>
  <c r="AJ20" i="12"/>
  <c r="AN20" i="12"/>
  <c r="Q20" i="12"/>
  <c r="N20" i="12"/>
  <c r="V20" i="12"/>
  <c r="AD20" i="12"/>
  <c r="AH20" i="12"/>
  <c r="AP20" i="12"/>
  <c r="L19" i="12"/>
  <c r="I19" i="12"/>
  <c r="Q19" i="12"/>
  <c r="Y19" i="12"/>
  <c r="J19" i="12"/>
  <c r="N19" i="12"/>
  <c r="Z19" i="12"/>
  <c r="AD19" i="12"/>
  <c r="AH19" i="12"/>
  <c r="AP19" i="12"/>
  <c r="AF19" i="12"/>
  <c r="AC19" i="12"/>
  <c r="AK19" i="12"/>
  <c r="V18" i="12"/>
  <c r="L18" i="12"/>
  <c r="P18" i="12"/>
  <c r="T18" i="12"/>
  <c r="AF18" i="12"/>
  <c r="AJ18" i="12"/>
  <c r="AN18" i="12"/>
  <c r="I18" i="12"/>
  <c r="U18" i="12"/>
  <c r="Y18" i="12"/>
  <c r="AC18" i="12"/>
  <c r="AO18" i="12"/>
  <c r="AP18" i="12"/>
  <c r="O18" i="12"/>
  <c r="AI18" i="12"/>
  <c r="N17" i="12"/>
  <c r="V17" i="12"/>
  <c r="L17" i="12"/>
  <c r="P17" i="12"/>
  <c r="T17" i="12"/>
  <c r="AF17" i="12"/>
  <c r="AJ17" i="12"/>
  <c r="AN17" i="12"/>
  <c r="I17" i="12"/>
  <c r="U17" i="12"/>
  <c r="Y17" i="12"/>
  <c r="AC17" i="12"/>
  <c r="AO17" i="12"/>
  <c r="AP17" i="12"/>
  <c r="O17" i="12"/>
  <c r="AI17" i="12"/>
  <c r="L16" i="12"/>
  <c r="I16" i="12"/>
  <c r="Q16" i="12"/>
  <c r="Y16" i="12"/>
  <c r="AK16" i="12"/>
  <c r="J16" i="12"/>
  <c r="N16" i="12"/>
  <c r="Z16" i="12"/>
  <c r="AD16" i="12"/>
  <c r="AH16" i="12"/>
  <c r="AF16" i="12"/>
  <c r="AC16" i="12"/>
  <c r="L15" i="12"/>
  <c r="AF15" i="12"/>
  <c r="I15" i="12"/>
  <c r="Q15" i="12"/>
  <c r="Y15" i="12"/>
  <c r="AC15" i="12"/>
  <c r="AK15" i="12"/>
  <c r="J15" i="12"/>
  <c r="N15" i="12"/>
  <c r="V15" i="12"/>
  <c r="Z15" i="12"/>
  <c r="AD15" i="12"/>
  <c r="AH15" i="12"/>
  <c r="AP15" i="12"/>
  <c r="Z14" i="12"/>
  <c r="I14" i="12"/>
  <c r="N14" i="12"/>
  <c r="AC14" i="12"/>
  <c r="AH14" i="12"/>
  <c r="J14" i="12"/>
  <c r="U14" i="12"/>
  <c r="AD14" i="12"/>
  <c r="AO14" i="12"/>
  <c r="V14" i="12"/>
  <c r="AP14" i="12"/>
  <c r="O14" i="12"/>
  <c r="S14" i="12"/>
  <c r="AA14" i="12"/>
  <c r="AI14" i="12"/>
  <c r="AM14" i="12"/>
  <c r="L14" i="12"/>
  <c r="P14" i="12"/>
  <c r="T14" i="12"/>
  <c r="X14" i="12"/>
  <c r="AF14" i="12"/>
  <c r="AJ14" i="12"/>
  <c r="AN14" i="12"/>
  <c r="G17" i="5" l="1"/>
  <c r="AH4" i="1"/>
  <c r="D16" i="5"/>
  <c r="Y4" i="1"/>
  <c r="AA4" i="1"/>
  <c r="J4" i="1"/>
  <c r="P4" i="1"/>
  <c r="AN4" i="1"/>
  <c r="Z4" i="1"/>
  <c r="AK4" i="1"/>
  <c r="F4" i="1"/>
  <c r="AJ4" i="1"/>
  <c r="U4" i="1"/>
  <c r="AO4" i="1"/>
  <c r="N4" i="1"/>
  <c r="L4" i="1"/>
  <c r="AE4" i="1"/>
  <c r="AD4" i="1"/>
  <c r="Q4" i="1"/>
  <c r="E16" i="5"/>
  <c r="O4" i="1"/>
  <c r="S4" i="1"/>
  <c r="AM4" i="1"/>
  <c r="I4" i="1"/>
  <c r="AP4" i="1"/>
  <c r="V4" i="1"/>
  <c r="AC4" i="1"/>
  <c r="AF4" i="1"/>
  <c r="G16" i="5"/>
  <c r="AI4" i="1"/>
  <c r="K4" i="1"/>
  <c r="C16" i="5"/>
  <c r="G4" i="1"/>
  <c r="C94" i="5"/>
  <c r="C17" i="5"/>
  <c r="C30" i="4"/>
  <c r="F22" i="4"/>
  <c r="H101" i="5"/>
  <c r="G101" i="5"/>
  <c r="F101" i="5"/>
  <c r="E101" i="5"/>
  <c r="D101" i="5"/>
  <c r="C101" i="5"/>
  <c r="H107" i="5"/>
  <c r="G107" i="5"/>
  <c r="F107" i="5"/>
  <c r="E107" i="5"/>
  <c r="D107" i="5"/>
  <c r="C107" i="5"/>
  <c r="I77" i="5"/>
  <c r="H77" i="5"/>
  <c r="G77" i="5"/>
  <c r="F77" i="5"/>
  <c r="E77" i="5"/>
  <c r="D77" i="5"/>
  <c r="C77" i="5"/>
  <c r="C65" i="5"/>
  <c r="D65" i="5"/>
  <c r="E65" i="5"/>
  <c r="F65" i="5"/>
  <c r="G65" i="5"/>
  <c r="H65" i="5"/>
  <c r="I65" i="5"/>
  <c r="I53" i="5"/>
  <c r="H53" i="5"/>
  <c r="G53" i="5"/>
  <c r="F53" i="5"/>
  <c r="E53" i="5"/>
  <c r="D53" i="5"/>
  <c r="C53" i="5"/>
  <c r="I41" i="5"/>
  <c r="H41" i="5"/>
  <c r="G41" i="5"/>
  <c r="F41" i="5"/>
  <c r="E41" i="5"/>
  <c r="D41" i="5"/>
  <c r="C41" i="5"/>
  <c r="I17" i="5"/>
  <c r="C102" i="5"/>
  <c r="I102" i="5"/>
  <c r="H102" i="5"/>
  <c r="G102" i="5"/>
  <c r="F102" i="5"/>
  <c r="E102" i="5"/>
  <c r="D102" i="5"/>
  <c r="D99" i="5"/>
  <c r="C99" i="5"/>
  <c r="D87" i="5"/>
  <c r="C87" i="5"/>
  <c r="I16" i="5"/>
  <c r="I40" i="5"/>
  <c r="I52" i="5"/>
  <c r="I64" i="5"/>
  <c r="I76" i="5"/>
  <c r="C79" i="5"/>
  <c r="H76" i="5"/>
  <c r="G76" i="5"/>
  <c r="F76" i="5"/>
  <c r="E76" i="5"/>
  <c r="D76" i="5"/>
  <c r="C76" i="5"/>
  <c r="H64" i="5"/>
  <c r="G64" i="5"/>
  <c r="F64" i="5"/>
  <c r="E64" i="5"/>
  <c r="D64" i="5"/>
  <c r="C64" i="5"/>
  <c r="C67" i="5"/>
  <c r="D75" i="5"/>
  <c r="C75" i="5"/>
  <c r="D63" i="5"/>
  <c r="C63" i="5"/>
  <c r="H40" i="5"/>
  <c r="G40" i="5"/>
  <c r="F40" i="5"/>
  <c r="E40" i="5"/>
  <c r="D40" i="5"/>
  <c r="C40" i="5"/>
  <c r="C55" i="5"/>
  <c r="H52" i="5"/>
  <c r="G52" i="5"/>
  <c r="F52" i="5"/>
  <c r="E52" i="5"/>
  <c r="D52" i="5"/>
  <c r="C52" i="5"/>
  <c r="C43" i="5"/>
  <c r="C5" i="5"/>
  <c r="E33" i="4"/>
  <c r="I7" i="7"/>
  <c r="C7" i="7"/>
  <c r="C3" i="7"/>
  <c r="D39" i="5"/>
  <c r="C39" i="5"/>
  <c r="D51" i="5"/>
  <c r="C51" i="5"/>
  <c r="D15" i="5"/>
  <c r="C19" i="5"/>
  <c r="C4" i="5"/>
  <c r="C15" i="5"/>
  <c r="C9" i="5"/>
  <c r="C8" i="5"/>
  <c r="C7" i="5"/>
  <c r="C6" i="5"/>
  <c r="G33" i="4"/>
  <c r="F33" i="4"/>
  <c r="C13" i="7" l="1"/>
  <c r="C12" i="7"/>
  <c r="F16" i="5"/>
  <c r="E30" i="5"/>
  <c r="I30" i="5"/>
  <c r="F35" i="5"/>
  <c r="F30" i="5"/>
  <c r="C35" i="5"/>
  <c r="G35" i="5"/>
  <c r="C30" i="5"/>
  <c r="G30" i="5"/>
  <c r="D35" i="5"/>
  <c r="H35" i="5"/>
  <c r="D30" i="5"/>
  <c r="H30" i="5"/>
  <c r="E35" i="5"/>
  <c r="I35" i="5"/>
  <c r="C105" i="5"/>
  <c r="F18" i="5"/>
  <c r="G55" i="5"/>
  <c r="I54" i="5"/>
  <c r="H47" i="5"/>
  <c r="D71" i="5"/>
  <c r="H18" i="5"/>
  <c r="G23" i="5"/>
  <c r="C78" i="5"/>
  <c r="C83" i="5"/>
  <c r="C81" i="5" s="1"/>
  <c r="I47" i="5"/>
  <c r="F78" i="5"/>
  <c r="I42" i="5"/>
  <c r="E66" i="5"/>
  <c r="D66" i="5"/>
  <c r="I78" i="5"/>
  <c r="E71" i="5"/>
  <c r="H71" i="5"/>
  <c r="E54" i="5"/>
  <c r="G42" i="5"/>
  <c r="D54" i="5"/>
  <c r="H59" i="5"/>
  <c r="G47" i="5"/>
  <c r="C59" i="5"/>
  <c r="F43" i="5"/>
  <c r="D43" i="5"/>
  <c r="H55" i="5"/>
  <c r="C108" i="5"/>
  <c r="G104" i="5" s="1"/>
  <c r="C66" i="5"/>
  <c r="I23" i="5"/>
  <c r="I71" i="5"/>
  <c r="I18" i="5"/>
  <c r="I66" i="5"/>
  <c r="E83" i="5"/>
  <c r="D83" i="5"/>
  <c r="D78" i="5"/>
  <c r="G71" i="5"/>
  <c r="D42" i="5"/>
  <c r="E59" i="5"/>
  <c r="D47" i="5"/>
  <c r="G54" i="5"/>
  <c r="E42" i="5"/>
  <c r="F47" i="5"/>
  <c r="H43" i="5"/>
  <c r="E43" i="5"/>
  <c r="F55" i="5"/>
  <c r="D18" i="5"/>
  <c r="E23" i="5"/>
  <c r="C92" i="5"/>
  <c r="G78" i="5"/>
  <c r="G83" i="5"/>
  <c r="I83" i="5"/>
  <c r="E78" i="5"/>
  <c r="H66" i="5"/>
  <c r="F83" i="5"/>
  <c r="F71" i="5"/>
  <c r="C71" i="5"/>
  <c r="F59" i="5"/>
  <c r="H54" i="5"/>
  <c r="F42" i="5"/>
  <c r="C54" i="5"/>
  <c r="G59" i="5"/>
  <c r="D55" i="5"/>
  <c r="E55" i="5"/>
  <c r="G18" i="5"/>
  <c r="E18" i="5"/>
  <c r="G43" i="5"/>
  <c r="D59" i="5"/>
  <c r="E47" i="5"/>
  <c r="H83" i="5"/>
  <c r="I59" i="5"/>
  <c r="H23" i="5"/>
  <c r="C18" i="5"/>
  <c r="F23" i="5"/>
  <c r="F54" i="5"/>
  <c r="H42" i="5"/>
  <c r="C23" i="5"/>
  <c r="G66" i="5"/>
  <c r="D23" i="5"/>
  <c r="C47" i="5"/>
  <c r="C42" i="5"/>
  <c r="H78" i="5"/>
  <c r="F66" i="5"/>
  <c r="E106" i="5"/>
  <c r="H94" i="5"/>
  <c r="G94" i="5"/>
  <c r="E94" i="5"/>
  <c r="F94" i="5"/>
  <c r="F106" i="5"/>
  <c r="C106" i="5"/>
  <c r="G106" i="5"/>
  <c r="D106" i="5"/>
  <c r="I106" i="5"/>
  <c r="H106" i="5"/>
  <c r="H105" i="5"/>
  <c r="F105" i="5"/>
  <c r="D105" i="5"/>
  <c r="G105" i="5"/>
  <c r="E105" i="5"/>
  <c r="C11" i="7" l="1"/>
  <c r="C46" i="5"/>
  <c r="H34" i="5"/>
  <c r="G34" i="5"/>
  <c r="D34" i="5"/>
  <c r="C34" i="5"/>
  <c r="F34" i="5"/>
  <c r="I34" i="5"/>
  <c r="D33" i="5"/>
  <c r="H33" i="5"/>
  <c r="E33" i="5"/>
  <c r="I33" i="5"/>
  <c r="F33" i="5"/>
  <c r="C33" i="5"/>
  <c r="G33" i="5"/>
  <c r="C36" i="5"/>
  <c r="E34" i="5"/>
  <c r="D81" i="5"/>
  <c r="H104" i="5"/>
  <c r="H108" i="5" s="1"/>
  <c r="F22" i="5"/>
  <c r="H57" i="5"/>
  <c r="D21" i="5"/>
  <c r="D57" i="5"/>
  <c r="G58" i="5"/>
  <c r="C60" i="5"/>
  <c r="F56" i="5" s="1"/>
  <c r="I70" i="5"/>
  <c r="C70" i="5"/>
  <c r="G70" i="5"/>
  <c r="F81" i="5"/>
  <c r="H69" i="5"/>
  <c r="H22" i="5"/>
  <c r="D104" i="5"/>
  <c r="D108" i="5" s="1"/>
  <c r="C104" i="5"/>
  <c r="I82" i="5"/>
  <c r="E104" i="5"/>
  <c r="E108" i="5" s="1"/>
  <c r="H82" i="5"/>
  <c r="F69" i="5"/>
  <c r="F82" i="5"/>
  <c r="F104" i="5"/>
  <c r="F108" i="5" s="1"/>
  <c r="I104" i="5"/>
  <c r="I108" i="5" s="1"/>
  <c r="D82" i="5"/>
  <c r="I46" i="5"/>
  <c r="G22" i="5"/>
  <c r="I22" i="5"/>
  <c r="E58" i="5"/>
  <c r="D70" i="5"/>
  <c r="D58" i="5"/>
  <c r="C82" i="5"/>
  <c r="H92" i="5"/>
  <c r="H96" i="5" s="1"/>
  <c r="G92" i="5"/>
  <c r="G96" i="5" s="1"/>
  <c r="E70" i="5"/>
  <c r="D45" i="5"/>
  <c r="E46" i="5"/>
  <c r="G46" i="5"/>
  <c r="D46" i="5"/>
  <c r="F46" i="5"/>
  <c r="C58" i="5"/>
  <c r="H46" i="5"/>
  <c r="H45" i="5"/>
  <c r="F70" i="5"/>
  <c r="C48" i="5"/>
  <c r="E44" i="5" s="1"/>
  <c r="F45" i="5"/>
  <c r="E57" i="5"/>
  <c r="I81" i="5"/>
  <c r="D92" i="5"/>
  <c r="D96" i="5" s="1"/>
  <c r="I45" i="5"/>
  <c r="F58" i="5"/>
  <c r="E82" i="5"/>
  <c r="D22" i="5"/>
  <c r="I21" i="5"/>
  <c r="G21" i="5"/>
  <c r="E69" i="5"/>
  <c r="C69" i="5"/>
  <c r="I69" i="5"/>
  <c r="G69" i="5"/>
  <c r="C72" i="5"/>
  <c r="I68" i="5" s="1"/>
  <c r="H81" i="5"/>
  <c r="G57" i="5"/>
  <c r="C57" i="5"/>
  <c r="H58" i="5"/>
  <c r="E81" i="5"/>
  <c r="H70" i="5"/>
  <c r="E22" i="5"/>
  <c r="C22" i="5"/>
  <c r="E21" i="5"/>
  <c r="C45" i="5"/>
  <c r="G45" i="5"/>
  <c r="E45" i="5"/>
  <c r="C84" i="5"/>
  <c r="F57" i="5"/>
  <c r="G82" i="5"/>
  <c r="C24" i="5"/>
  <c r="I57" i="5"/>
  <c r="C21" i="5"/>
  <c r="E92" i="5"/>
  <c r="E96" i="5" s="1"/>
  <c r="F92" i="5"/>
  <c r="F96" i="5" s="1"/>
  <c r="I58" i="5"/>
  <c r="G81" i="5"/>
  <c r="F21" i="5"/>
  <c r="D69" i="5"/>
  <c r="H21" i="5"/>
  <c r="G108" i="5"/>
  <c r="F9" i="7" l="1"/>
  <c r="E9" i="7"/>
  <c r="D9" i="7"/>
  <c r="G9" i="7"/>
  <c r="I9" i="7"/>
  <c r="I56" i="5"/>
  <c r="I15" i="7"/>
  <c r="F34" i="4"/>
  <c r="C32" i="5"/>
  <c r="G32" i="5"/>
  <c r="G36" i="5" s="1"/>
  <c r="G31" i="5" s="1"/>
  <c r="D32" i="5"/>
  <c r="D36" i="5" s="1"/>
  <c r="D31" i="5" s="1"/>
  <c r="H32" i="5"/>
  <c r="H36" i="5" s="1"/>
  <c r="H31" i="5" s="1"/>
  <c r="E32" i="5"/>
  <c r="E36" i="5" s="1"/>
  <c r="E31" i="5" s="1"/>
  <c r="I32" i="5"/>
  <c r="I36" i="5" s="1"/>
  <c r="I31" i="5" s="1"/>
  <c r="F32" i="5"/>
  <c r="F36" i="5" s="1"/>
  <c r="F31" i="5" s="1"/>
  <c r="C56" i="5"/>
  <c r="H56" i="5"/>
  <c r="H60" i="5" s="1"/>
  <c r="D56" i="5"/>
  <c r="D60" i="5" s="1"/>
  <c r="G44" i="5"/>
  <c r="G48" i="5" s="1"/>
  <c r="E56" i="5"/>
  <c r="E60" i="5" s="1"/>
  <c r="I44" i="5"/>
  <c r="I48" i="5" s="1"/>
  <c r="I43" i="5" s="1"/>
  <c r="G56" i="5"/>
  <c r="G60" i="5" s="1"/>
  <c r="F60" i="5"/>
  <c r="E48" i="5"/>
  <c r="C44" i="5"/>
  <c r="F44" i="5"/>
  <c r="F48" i="5" s="1"/>
  <c r="H44" i="5"/>
  <c r="H48" i="5" s="1"/>
  <c r="I72" i="5"/>
  <c r="I67" i="5" s="1"/>
  <c r="D44" i="5"/>
  <c r="D48" i="5" s="1"/>
  <c r="I60" i="5"/>
  <c r="I55" i="5" s="1"/>
  <c r="H68" i="5"/>
  <c r="G68" i="5"/>
  <c r="G72" i="5" s="1"/>
  <c r="D68" i="5"/>
  <c r="D72" i="5" s="1"/>
  <c r="D67" i="5" s="1"/>
  <c r="E68" i="5"/>
  <c r="E72" i="5" s="1"/>
  <c r="C68" i="5"/>
  <c r="F68" i="5"/>
  <c r="F72" i="5" s="1"/>
  <c r="F20" i="5"/>
  <c r="F24" i="5" s="1"/>
  <c r="D20" i="5"/>
  <c r="D24" i="5" s="1"/>
  <c r="E20" i="5"/>
  <c r="E24" i="5" s="1"/>
  <c r="C20" i="5"/>
  <c r="G20" i="5"/>
  <c r="G24" i="5" s="1"/>
  <c r="I20" i="5"/>
  <c r="I24" i="5" s="1"/>
  <c r="I19" i="5" s="1"/>
  <c r="H20" i="5"/>
  <c r="H24" i="5" s="1"/>
  <c r="G80" i="5"/>
  <c r="G84" i="5" s="1"/>
  <c r="E80" i="5"/>
  <c r="E84" i="5" s="1"/>
  <c r="F80" i="5"/>
  <c r="F84" i="5" s="1"/>
  <c r="D80" i="5"/>
  <c r="D84" i="5" s="1"/>
  <c r="D79" i="5" s="1"/>
  <c r="H80" i="5"/>
  <c r="H84" i="5" s="1"/>
  <c r="C80" i="5"/>
  <c r="I80" i="5"/>
  <c r="I84" i="5" s="1"/>
  <c r="I79" i="5" s="1"/>
  <c r="H72" i="5"/>
  <c r="G34" i="4" l="1"/>
  <c r="E79" i="5"/>
  <c r="E67" i="5"/>
  <c r="H79" i="5"/>
  <c r="D19" i="5"/>
  <c r="G79" i="5"/>
  <c r="G19" i="5"/>
  <c r="F19" i="5"/>
  <c r="H67" i="5"/>
  <c r="E19" i="5"/>
  <c r="F67" i="5"/>
  <c r="G67" i="5"/>
  <c r="F79" i="5"/>
  <c r="H19" i="5"/>
</calcChain>
</file>

<file path=xl/sharedStrings.xml><?xml version="1.0" encoding="utf-8"?>
<sst xmlns="http://schemas.openxmlformats.org/spreadsheetml/2006/main" count="580" uniqueCount="242">
  <si>
    <t>Transport mode/category</t>
  </si>
  <si>
    <t>Base year</t>
  </si>
  <si>
    <t>Target year</t>
  </si>
  <si>
    <t>Activity indicator</t>
  </si>
  <si>
    <t>Type of Sector</t>
  </si>
  <si>
    <t>Intensity Indicator</t>
  </si>
  <si>
    <t>Homogeneous</t>
  </si>
  <si>
    <t>Approach</t>
  </si>
  <si>
    <t>Sectoral Decarbonization Approach (SDA)</t>
  </si>
  <si>
    <t>Support:</t>
  </si>
  <si>
    <t>info@sciencebasedtargets.org</t>
  </si>
  <si>
    <t>Please fill in all orange cells below to model a target</t>
  </si>
  <si>
    <t>Graph data</t>
  </si>
  <si>
    <t>Transport mode / Transport Category</t>
  </si>
  <si>
    <t>Type</t>
  </si>
  <si>
    <t>d</t>
  </si>
  <si>
    <t>Linear Decarbonization Approach</t>
  </si>
  <si>
    <t>Forecast assuming a linear company growth</t>
  </si>
  <si>
    <t>Sector emissions</t>
  </si>
  <si>
    <t>Sector activity</t>
  </si>
  <si>
    <t>Sector intensity</t>
  </si>
  <si>
    <t>Company emissions</t>
  </si>
  <si>
    <t>m</t>
  </si>
  <si>
    <t>py</t>
  </si>
  <si>
    <t>Company activity</t>
  </si>
  <si>
    <t>Company intensity</t>
  </si>
  <si>
    <t>Transport Mode</t>
  </si>
  <si>
    <t>Base Year</t>
  </si>
  <si>
    <t>Target Year</t>
  </si>
  <si>
    <t>Base year activity:</t>
  </si>
  <si>
    <t>Expected target year activity:</t>
  </si>
  <si>
    <t>WTW - B2DS</t>
  </si>
  <si>
    <t>WTT - B2DS</t>
  </si>
  <si>
    <t>WTT - 2DS</t>
  </si>
  <si>
    <t>CALCULATIONS</t>
  </si>
  <si>
    <t>Type of sector</t>
  </si>
  <si>
    <t>Catalogues</t>
  </si>
  <si>
    <t>Back end data B2DS</t>
  </si>
  <si>
    <t>Sector</t>
  </si>
  <si>
    <t>scenario</t>
  </si>
  <si>
    <t>Contact:</t>
  </si>
  <si>
    <t xml:space="preserve">Notes: </t>
  </si>
  <si>
    <t>Terms of use</t>
  </si>
  <si>
    <t>Disclaimer</t>
  </si>
  <si>
    <t xml:space="preserve">Please refer to: </t>
  </si>
  <si>
    <t>Select a base year</t>
  </si>
  <si>
    <t>Select a target year</t>
  </si>
  <si>
    <t>Any target year after the base year and up to 2050 is eligible</t>
  </si>
  <si>
    <t>TTW - 2DS</t>
  </si>
  <si>
    <t>TTW - B2DS</t>
  </si>
  <si>
    <t>49% Reduction</t>
  </si>
  <si>
    <t>72% Reduction</t>
  </si>
  <si>
    <t>95% Reduction</t>
  </si>
  <si>
    <t>Sector fuel economy</t>
  </si>
  <si>
    <t>Company fuel economy</t>
  </si>
  <si>
    <t>Fuel economy B2DS</t>
  </si>
  <si>
    <t>Sector information</t>
  </si>
  <si>
    <r>
      <rPr>
        <b/>
        <sz val="18"/>
        <color theme="1"/>
        <rFont val="Arial"/>
        <family val="2"/>
      </rPr>
      <t>IMPORTANT:</t>
    </r>
    <r>
      <rPr>
        <sz val="18"/>
        <color theme="1"/>
        <rFont val="Arial"/>
        <family val="2"/>
      </rPr>
      <t xml:space="preserve"> </t>
    </r>
    <r>
      <rPr>
        <sz val="12"/>
        <color theme="1"/>
        <rFont val="Arial"/>
        <family val="2"/>
      </rPr>
      <t>By using this tool you acknowledge that you have read, understood and agree to our Terms of Use and Disclaimer.</t>
    </r>
  </si>
  <si>
    <t>Automotive Sector Pathway SCOPE 1+2 (World average) 2DS</t>
  </si>
  <si>
    <t>Global sales  (PLDVs), millions per year</t>
  </si>
  <si>
    <t>SCOPE 1 Global emissions of OEM (t CO2)</t>
  </si>
  <si>
    <t>SCOPE 1 CO2 intensity OEM average  (kg CO2/car)</t>
  </si>
  <si>
    <t xml:space="preserve">SCOPE 2 Global emissions CO2 of OEM (t CO2) </t>
  </si>
  <si>
    <t>SCOPE 2 CO2 intensity OEM average (kg CO2/car)</t>
  </si>
  <si>
    <r>
      <rPr>
        <b/>
        <sz val="11"/>
        <rFont val="Calibri"/>
        <family val="2"/>
        <scheme val="minor"/>
      </rPr>
      <t xml:space="preserve">SCOPE 1+2 </t>
    </r>
    <r>
      <rPr>
        <sz val="11"/>
        <rFont val="Calibri"/>
        <family val="2"/>
        <scheme val="minor"/>
      </rPr>
      <t>Global emissions CO2 of OEM (t CO2)</t>
    </r>
    <r>
      <rPr>
        <b/>
        <sz val="11"/>
        <rFont val="Calibri"/>
        <family val="2"/>
        <scheme val="minor"/>
      </rPr>
      <t xml:space="preserve"> </t>
    </r>
  </si>
  <si>
    <r>
      <rPr>
        <b/>
        <sz val="11"/>
        <rFont val="Calibri"/>
        <family val="2"/>
        <scheme val="minor"/>
      </rPr>
      <t>SCOPE 1+2</t>
    </r>
    <r>
      <rPr>
        <sz val="11"/>
        <rFont val="Calibri"/>
        <family val="2"/>
        <scheme val="minor"/>
      </rPr>
      <t xml:space="preserve"> CO2 intensity OEM average (kg CO2/car)</t>
    </r>
  </si>
  <si>
    <t>Vehicle manufacturing (PLDV)</t>
  </si>
  <si>
    <t>Direct emissions</t>
  </si>
  <si>
    <t>Activity</t>
  </si>
  <si>
    <t>Scope 1 intensity</t>
  </si>
  <si>
    <t>Scope 2 emissions</t>
  </si>
  <si>
    <t>Scope 2 intensity</t>
  </si>
  <si>
    <t>units sold</t>
  </si>
  <si>
    <t xml:space="preserve"> units sold per year</t>
  </si>
  <si>
    <t>kgCO2/vehicle</t>
  </si>
  <si>
    <t>tCO2e</t>
  </si>
  <si>
    <t>kCO2/vehicle</t>
  </si>
  <si>
    <t>OEMs</t>
  </si>
  <si>
    <t>Activity in base year</t>
  </si>
  <si>
    <t>Expected activity in target year</t>
  </si>
  <si>
    <t>Scope 1 emissions</t>
  </si>
  <si>
    <t>WTW 2DS</t>
  </si>
  <si>
    <t>Company S1&amp;S2 carbon intensity</t>
  </si>
  <si>
    <t>Sector S1&amp;S2 carbon intensity</t>
  </si>
  <si>
    <t>Passenger Light-duty vehicles (PLDVs) sales, millions per year</t>
  </si>
  <si>
    <t>B2DS</t>
  </si>
  <si>
    <t>MoMo 2DS</t>
  </si>
  <si>
    <t>From file: PassVehicles.xlsx</t>
  </si>
  <si>
    <t>From file: PassVehiclesWB2DS2.xlsx</t>
  </si>
  <si>
    <t>Renault data compilation</t>
  </si>
  <si>
    <t>Any base year between 2012 and the current year is eligible</t>
  </si>
  <si>
    <t>frangel@wwfmex.org</t>
  </si>
  <si>
    <t>Total industry final energy consumption (incl. BF, CO and chemical feedstock) (PJ)</t>
  </si>
  <si>
    <t>Coal</t>
  </si>
  <si>
    <t>Oil</t>
  </si>
  <si>
    <t>Natural gas</t>
  </si>
  <si>
    <t>Electricity</t>
  </si>
  <si>
    <t>Heat</t>
  </si>
  <si>
    <t>Biomass</t>
  </si>
  <si>
    <t>Waste</t>
  </si>
  <si>
    <t>Other renewables</t>
  </si>
  <si>
    <t>Total</t>
  </si>
  <si>
    <t>Sub-sector final electricity consumption (PJ)</t>
  </si>
  <si>
    <t xml:space="preserve">Cement </t>
  </si>
  <si>
    <t>Chemicals and petrochemicals</t>
  </si>
  <si>
    <t>Iron and steel</t>
  </si>
  <si>
    <t>Pulp and paper</t>
  </si>
  <si>
    <t>Aluminium</t>
  </si>
  <si>
    <t>Sub-sector final energy consumption (PJ)</t>
  </si>
  <si>
    <t>Power Generation sector</t>
  </si>
  <si>
    <t>Direct CO2 emissions (Mt CO2)</t>
  </si>
  <si>
    <t>Total Gross electricity generation (TWh)</t>
  </si>
  <si>
    <t>Power sector intensity (tCO2/MWh)</t>
  </si>
  <si>
    <t>Calculation</t>
  </si>
  <si>
    <t>Total industry CO2 emissions (MtCO2)</t>
  </si>
  <si>
    <r>
      <t>Total CO</t>
    </r>
    <r>
      <rPr>
        <vertAlign val="subscript"/>
        <sz val="11"/>
        <color theme="1"/>
        <rFont val="Calibri"/>
        <family val="2"/>
        <scheme val="minor"/>
      </rPr>
      <t>2</t>
    </r>
    <r>
      <rPr>
        <sz val="11"/>
        <color theme="1"/>
        <rFont val="Calibri"/>
        <family val="2"/>
        <scheme val="minor"/>
      </rPr>
      <t xml:space="preserve"> emissions</t>
    </r>
  </si>
  <si>
    <t>Sub-sector CO2 emissions (MtCO2)</t>
  </si>
  <si>
    <t>Other Industry calculations</t>
  </si>
  <si>
    <t>Final energy consumption (PJ)</t>
  </si>
  <si>
    <t>Final electricity consumption (PJ)</t>
  </si>
  <si>
    <t>Final electricity consumption (TWh)</t>
  </si>
  <si>
    <t>Scope 2 emissions (Mt CO2)</t>
  </si>
  <si>
    <t>Scope 1 emissions (Mt CO2)</t>
  </si>
  <si>
    <t>IEA MoMo 2017 DATA</t>
  </si>
  <si>
    <t>New PLDV sales (millions/year)</t>
  </si>
  <si>
    <t>2010</t>
  </si>
  <si>
    <t>2015</t>
  </si>
  <si>
    <t>2020</t>
  </si>
  <si>
    <t>2025</t>
  </si>
  <si>
    <t>2030</t>
  </si>
  <si>
    <t>2035</t>
  </si>
  <si>
    <t>2040</t>
  </si>
  <si>
    <t>2045</t>
  </si>
  <si>
    <t>2050</t>
  </si>
  <si>
    <t>Global sales</t>
  </si>
  <si>
    <t>CDP COMPANY DATA</t>
  </si>
  <si>
    <t>Sales (millions)</t>
  </si>
  <si>
    <t>Scope 1 (tCO2)</t>
  </si>
  <si>
    <t>S1 int (kgCO2/u)</t>
  </si>
  <si>
    <t>Scope 2 (tCO2)</t>
  </si>
  <si>
    <t>S2 int (kgCO2/u)</t>
  </si>
  <si>
    <t>Sample of OEMs</t>
  </si>
  <si>
    <t>Company 1</t>
  </si>
  <si>
    <t>Company 2</t>
  </si>
  <si>
    <t>Company 3</t>
  </si>
  <si>
    <t>Company 4</t>
  </si>
  <si>
    <t>Company 5</t>
  </si>
  <si>
    <t>Company 6</t>
  </si>
  <si>
    <t>Company 7</t>
  </si>
  <si>
    <t>Company 8</t>
  </si>
  <si>
    <t>Company 9</t>
  </si>
  <si>
    <t>Company 10</t>
  </si>
  <si>
    <t>Company 11</t>
  </si>
  <si>
    <t>Company 12</t>
  </si>
  <si>
    <t>SAMPLE TOTAL</t>
  </si>
  <si>
    <t>SAMPLE WEIGHTED AVERAGE (kgCO2/unit)</t>
  </si>
  <si>
    <t>SAMPLE/TOTAL %</t>
  </si>
  <si>
    <t>OEM SECTOR - CO2 EMISSION BUDGET ESTIMATION</t>
  </si>
  <si>
    <t>Other Industry Scope 2 emissions (MtCO2)</t>
  </si>
  <si>
    <t>Other Industry Scope 1 emissions (MtCO2)</t>
  </si>
  <si>
    <t>OEM sample Scope 2 emissions (MtCO2)</t>
  </si>
  <si>
    <t>OEM sample Scope 1 emissions (MtCO2)</t>
  </si>
  <si>
    <t>OEM sample sales</t>
  </si>
  <si>
    <t>OEM Scope 2 emissions (MtCO2)</t>
  </si>
  <si>
    <t>OEM Scope 1 emissions (MtCO2)</t>
  </si>
  <si>
    <t>OEM Scope 2 intensity (kgCO2/car)</t>
  </si>
  <si>
    <t>OEM Scope 1 intensity (kgCO2/car)</t>
  </si>
  <si>
    <t>INTENSITY REDUCTION DRIVERS</t>
  </si>
  <si>
    <t>Total energy per vehicle (MJ/car)</t>
  </si>
  <si>
    <t>% Reduction in energy per vehicle</t>
  </si>
  <si>
    <t>against 2014</t>
  </si>
  <si>
    <t>% Reduction in power sector intensity</t>
  </si>
  <si>
    <t>ANNUAL INTERPOLATION</t>
  </si>
  <si>
    <t>Power sector emissions (MtCO2)</t>
  </si>
  <si>
    <t>Power sector generation (TWh)</t>
  </si>
  <si>
    <t>Other Industry electricity consumption (TWh)</t>
  </si>
  <si>
    <t>Power sector Scope 1 emissions (MtCO2)</t>
  </si>
  <si>
    <t>Total Industry Scope 1 emissions (MtCO2)</t>
  </si>
  <si>
    <t>OEM Scope 1 + 2 intensity (kgCO2/car)</t>
  </si>
  <si>
    <t>OLD OEM Scope 1 emissions</t>
  </si>
  <si>
    <t>OLD OEM Scope 2 emissions</t>
  </si>
  <si>
    <t>OLD OEM S1 intensity</t>
  </si>
  <si>
    <t>OLD OEM S2 intensity</t>
  </si>
  <si>
    <t>https://greet.es.anl.gov/files/vehicle_and_components_manufacturing%3E</t>
  </si>
  <si>
    <t>Sector S2 carbon intensity</t>
  </si>
  <si>
    <t>Total % reduction in OEM S1+S2 intensity</t>
  </si>
  <si>
    <t>Grid decarbonization contribution to OEM intensity reduction</t>
  </si>
  <si>
    <t xml:space="preserve">EE contribution to OEM intensity reduction </t>
  </si>
  <si>
    <t>IEA ETP 2017 DATA 2DS</t>
  </si>
  <si>
    <t>IEA ETP 2017 DATA B2DS</t>
  </si>
  <si>
    <t>Target modelling results - B2DS</t>
  </si>
  <si>
    <t>S1 intensity</t>
  </si>
  <si>
    <t>S2 intensity</t>
  </si>
  <si>
    <t>Scope 1 carbon intensity in base year</t>
  </si>
  <si>
    <t>Scope 2 carbon intensity in base year</t>
  </si>
  <si>
    <t>Scope 1 carbon intensity</t>
  </si>
  <si>
    <t>Scope 2 carbon intensity</t>
  </si>
  <si>
    <t>S1+S2 carbon intensity</t>
  </si>
  <si>
    <t>S1+S2 intensity</t>
  </si>
  <si>
    <t>Sector S1 carbon intensity</t>
  </si>
  <si>
    <t>Company S1 carbon intensity</t>
  </si>
  <si>
    <t>Company S2 carbon intensity</t>
  </si>
  <si>
    <t>S1 target</t>
  </si>
  <si>
    <t>S2 target</t>
  </si>
  <si>
    <t>S1&amp;S2 target</t>
  </si>
  <si>
    <t>Section 1. Enter target details</t>
  </si>
  <si>
    <t>Section 2. Review target modelling results</t>
  </si>
  <si>
    <t>Sectoral Decarbonization Approach</t>
  </si>
  <si>
    <t>Sector / Industry:</t>
  </si>
  <si>
    <t>Version 1.0</t>
  </si>
  <si>
    <t>History of revisions:</t>
  </si>
  <si>
    <t>Version</t>
  </si>
  <si>
    <t>Comments</t>
  </si>
  <si>
    <t>1.0</t>
  </si>
  <si>
    <t>First release</t>
  </si>
  <si>
    <t>Sectoral Decarbonization Approach - Tool for Automakers (Scope 1 &amp; 2)</t>
  </si>
  <si>
    <t>Carbon intensity (B2DS) | Scope 1</t>
  </si>
  <si>
    <t>Carbon intensity (B2DS) | Scope 2</t>
  </si>
  <si>
    <t>Carbon intensity (B2DS) | Scopes 1 &amp; Scope 2</t>
  </si>
  <si>
    <t>PLDV manufacturing Scope 1</t>
  </si>
  <si>
    <t>PLDV manufacturing Scope 2</t>
  </si>
  <si>
    <t>New PLDV sales</t>
  </si>
  <si>
    <t>PLDV manufacturing Scopes 1 &amp; 2 intensity</t>
  </si>
  <si>
    <t>Scope 2 intensity - B2DS</t>
  </si>
  <si>
    <t>Scope 1 intensity - B2DS</t>
  </si>
  <si>
    <t>Scope 2 intensity - 2DS</t>
  </si>
  <si>
    <t>Scope 1 intensity - 2DS</t>
  </si>
  <si>
    <t>2DS</t>
  </si>
  <si>
    <t>Power sector emissions</t>
  </si>
  <si>
    <t>Power sector gross generation</t>
  </si>
  <si>
    <t>Power sector carbon intensity</t>
  </si>
  <si>
    <t>Method description and sector data</t>
  </si>
  <si>
    <t>Scopes 1 &amp; 2 carbon intensity - B2DS</t>
  </si>
  <si>
    <t>ScopeS 1 &amp; 2 carbon intensity - 2DS</t>
  </si>
  <si>
    <r>
      <rPr>
        <b/>
        <sz val="11"/>
        <color theme="1"/>
        <rFont val="Calibri"/>
        <family val="2"/>
        <scheme val="minor"/>
      </rPr>
      <t>Reference:</t>
    </r>
    <r>
      <rPr>
        <sz val="11"/>
        <color theme="1"/>
        <rFont val="Calibri"/>
        <family val="2"/>
        <scheme val="minor"/>
      </rPr>
      <t xml:space="preserve"> IEA ETP 2017 / IEA MoMo 2017</t>
    </r>
  </si>
  <si>
    <t>Science-based target setting - Manufacturing of passenger light-duty vehicles (Scopes 1 &amp; 2)</t>
  </si>
  <si>
    <t>The SDA transport tool uses proprietary data from the IEA Mobility Model 2017 and therefore this data is protected.</t>
  </si>
  <si>
    <r>
      <rPr>
        <b/>
        <sz val="20"/>
        <color theme="1"/>
        <rFont val="Arial"/>
        <family val="2"/>
      </rPr>
      <t>Terms of use</t>
    </r>
    <r>
      <rPr>
        <sz val="12"/>
        <color theme="1"/>
        <rFont val="Arial"/>
        <family val="2"/>
      </rPr>
      <t xml:space="preserve">
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Partner Organizations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
</t>
    </r>
  </si>
  <si>
    <r>
      <rPr>
        <b/>
        <sz val="20"/>
        <color theme="1"/>
        <rFont val="Arial"/>
        <family val="2"/>
      </rPr>
      <t>Disclaimer</t>
    </r>
    <r>
      <rPr>
        <b/>
        <sz val="12"/>
        <color theme="1"/>
        <rFont val="Arial"/>
        <family val="2"/>
      </rPr>
      <t xml:space="preserve">
</t>
    </r>
    <r>
      <rPr>
        <sz val="12"/>
        <color theme="1"/>
        <rFont val="Arial"/>
        <family val="2"/>
      </rPr>
      <t xml:space="preserve">The Tool and associated materials have been prepared by the Initiative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on company emissions and activity. Only then should emissions targets be developed. The Initiative does not examine, verify or hold any such input data provided by users of the Tool.
The Tool relies on data obtained from a variety of third-party sources. This data was obtained from sources believed by the Initiative to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
</t>
    </r>
  </si>
  <si>
    <r>
      <rPr>
        <b/>
        <sz val="20"/>
        <color theme="1"/>
        <rFont val="Arial"/>
        <family val="2"/>
      </rPr>
      <t>About</t>
    </r>
    <r>
      <rPr>
        <sz val="12"/>
        <color theme="1"/>
        <rFont val="Arial"/>
        <family val="2"/>
      </rPr>
      <t xml:space="preserve">
‘This tool is designed to enable manufacturers of passenger light-duty vehicles (PLDV) to set science-based GHG reduction targets for their scope 1&amp;2 emissions following the Science-Based Target initiative’s Sectoral Decarbonization Approach (SDA). For further information about the SDA, please visit www.sciencebasedtargets.org </t>
    </r>
  </si>
  <si>
    <t>Scope 1 &amp; Scope 2 carbon intensity</t>
  </si>
  <si>
    <r>
      <rPr>
        <b/>
        <sz val="20"/>
        <color theme="1"/>
        <rFont val="Arial}"/>
      </rPr>
      <t xml:space="preserve">About this method
</t>
    </r>
    <r>
      <rPr>
        <sz val="16"/>
        <color theme="1"/>
        <rFont val="Arial}"/>
      </rPr>
      <t xml:space="preserve">
</t>
    </r>
    <r>
      <rPr>
        <sz val="12"/>
        <color theme="1"/>
        <rFont val="Arial}"/>
      </rPr>
      <t>This tool applies the Sectoral Decarbonization Approach method (SDA) and relies on the B2DS scenario of the International Energy Agency in their 2017 Energy Technology Perspectives report and their 2017 Mobility Model data. The carbon intensity decarbonization pathway for the sector of “manufacturing of passenger light-duty vehicles” (PLDV) was derived from:
(a) Emissions trajectories for the “Other Industry” and "Power Generation" sectors (as defined in the SDA report), 
(b) PLDV sales projections, and 
(c) Publicly available emissions and sales data from a representative sample of PLDV manufacturers, as disclosed to CDP in response to the climate change questionnaire for 2012 and 2015. 
Sector specific Scope 1 and Scope 2 emission trajectories for PLDV manufacturers were calculated from the average carbon intensities from the company data sample, global PLDV sales data and the indexed emissions trajectories from the “Other Industry” and “Power Generation” sectors. The resulting PLDV manufacturing sector emission trajectories and PLDV sales projections were subsequently used to calculate sectoral Scope 1 and Scope 2 carbon intensity pathways.
For context, sector data from the 2DS scenario from the 2017 Energy Technology Perspectives report is shown in the graphs below.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</si>
</sst>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_(* \(#,##0.00\);_(* &quot;-&quot;??_);_(@_)"/>
    <numFmt numFmtId="164" formatCode="0.00000000"/>
    <numFmt numFmtId="165" formatCode="0.000%"/>
    <numFmt numFmtId="166" formatCode="0.0000%"/>
    <numFmt numFmtId="167" formatCode="0.0000"/>
    <numFmt numFmtId="168" formatCode="[$$-409]#,##0_);\([$$-409]#,##0\)"/>
    <numFmt numFmtId="169" formatCode="[$$-409]#,##0"/>
    <numFmt numFmtId="170" formatCode="_-* #,##0_-;\-* #,##0_-;_-* &quot;-&quot;_-;_-@_-"/>
    <numFmt numFmtId="171" formatCode="_-* #,##0.00_-;\-* #,##0.00_-;_-* &quot;-&quot;??_-;_-@_-"/>
    <numFmt numFmtId="172" formatCode="_-&quot;€&quot;* #,##0_-;\-&quot;€&quot;* #,##0_-;_-&quot;€&quot;* &quot;-&quot;_-;_-@_-"/>
    <numFmt numFmtId="173" formatCode="_-&quot;€&quot;* #,##0.00_-;\-&quot;€&quot;* #,##0.00_-;_-&quot;€&quot;* &quot;-&quot;??_-;_-@_-"/>
    <numFmt numFmtId="174" formatCode="#\,##0"/>
    <numFmt numFmtId="175" formatCode="General_);[Red]\-General_)"/>
    <numFmt numFmtId="176" formatCode="0.000000"/>
    <numFmt numFmtId="177" formatCode="0.00%;\(0.00%\)"/>
    <numFmt numFmtId="178" formatCode="_-* #,##0.0\ _€_-;\-* #,##0.0\ _€_-;_-* &quot;-&quot;??\ _€_-;_-@_-"/>
    <numFmt numFmtId="179" formatCode="_-* #,##0\ _€_-;\-* #,##0\ _€_-;_-* &quot;-&quot;??\ _€_-;_-@_-"/>
    <numFmt numFmtId="180" formatCode="0.0"/>
    <numFmt numFmtId="181" formatCode="0.0%"/>
    <numFmt numFmtId="182" formatCode="_-* #,##0.0000\ _€_-;\-* #,##0.0000\ _€_-;_-* &quot;-&quot;??\ _€_-;_-@_-"/>
    <numFmt numFmtId="183" formatCode="#\ ##0"/>
    <numFmt numFmtId="184" formatCode="0.000"/>
    <numFmt numFmtId="185" formatCode="#,##0.000000"/>
  </numFmts>
  <fonts count="103">
    <font>
      <sz val="11"/>
      <color theme="1"/>
      <name val="Calibri"/>
      <family val="2"/>
      <scheme val="minor"/>
    </font>
    <font>
      <sz val="11"/>
      <color theme="1"/>
      <name val="Calibri"/>
      <family val="2"/>
      <scheme val="minor"/>
    </font>
    <font>
      <b/>
      <sz val="11"/>
      <color theme="1"/>
      <name val="Calibri"/>
      <family val="2"/>
      <scheme val="minor"/>
    </font>
    <font>
      <b/>
      <sz val="8"/>
      <color rgb="FFFF0000"/>
      <name val="Arial"/>
      <family val="2"/>
    </font>
    <font>
      <sz val="8"/>
      <name val="Arial"/>
      <family val="2"/>
    </font>
    <font>
      <b/>
      <sz val="8"/>
      <color rgb="FF000000"/>
      <name val="Arial"/>
      <family val="2"/>
    </font>
    <font>
      <sz val="8"/>
      <color rgb="FF000000"/>
      <name val="Arial"/>
      <family val="2"/>
    </font>
    <font>
      <b/>
      <sz val="11"/>
      <color rgb="FF000000"/>
      <name val="Arial"/>
      <family val="2"/>
    </font>
    <font>
      <b/>
      <sz val="11"/>
      <color theme="1"/>
      <name val="Arial"/>
      <family val="2"/>
    </font>
    <font>
      <sz val="11"/>
      <color theme="1"/>
      <name val="Arial"/>
      <family val="2"/>
    </font>
    <font>
      <sz val="11"/>
      <name val="Arial"/>
      <family val="2"/>
    </font>
    <font>
      <sz val="11"/>
      <color rgb="FFFF0000"/>
      <name val="Arial"/>
      <family val="2"/>
    </font>
    <font>
      <b/>
      <sz val="36"/>
      <color theme="1" tint="0.249977111117893"/>
      <name val="Arial"/>
      <family val="2"/>
    </font>
    <font>
      <u/>
      <sz val="12"/>
      <color theme="10"/>
      <name val="Calibri"/>
      <family val="2"/>
      <scheme val="minor"/>
    </font>
    <font>
      <u/>
      <sz val="11"/>
      <color rgb="FF0000FF"/>
      <name val="Arial"/>
      <family val="2"/>
    </font>
    <font>
      <sz val="12"/>
      <color theme="1"/>
      <name val="Arial"/>
      <family val="2"/>
    </font>
    <font>
      <b/>
      <sz val="16"/>
      <color theme="5" tint="-0.499984740745262"/>
      <name val="Arial"/>
      <family val="2"/>
    </font>
    <font>
      <i/>
      <sz val="11"/>
      <color theme="1" tint="0.499984740745262"/>
      <name val="Arial"/>
      <family val="2"/>
    </font>
    <font>
      <i/>
      <sz val="11"/>
      <color theme="1"/>
      <name val="Arial"/>
      <family val="2"/>
    </font>
    <font>
      <sz val="11"/>
      <color theme="1" tint="0.499984740745262"/>
      <name val="Arial"/>
      <family val="2"/>
    </font>
    <font>
      <b/>
      <sz val="14"/>
      <color theme="9"/>
      <name val="Arial"/>
      <family val="2"/>
    </font>
    <font>
      <b/>
      <sz val="14"/>
      <color theme="1"/>
      <name val="Arial"/>
      <family val="2"/>
    </font>
    <font>
      <b/>
      <sz val="10"/>
      <color theme="1"/>
      <name val="Arial"/>
      <family val="2"/>
    </font>
    <font>
      <sz val="11"/>
      <name val="Calibri"/>
      <family val="2"/>
      <scheme val="minor"/>
    </font>
    <font>
      <b/>
      <sz val="8"/>
      <color theme="1"/>
      <name val="Arial"/>
      <family val="2"/>
    </font>
    <font>
      <sz val="8"/>
      <color theme="1"/>
      <name val="Arial"/>
      <family val="2"/>
    </font>
    <font>
      <i/>
      <sz val="8"/>
      <color theme="1" tint="0.499984740745262"/>
      <name val="Arial"/>
      <family val="2"/>
    </font>
    <font>
      <b/>
      <sz val="8"/>
      <color theme="5" tint="-0.499984740745262"/>
      <name val="Arial"/>
      <family val="2"/>
    </font>
    <font>
      <sz val="9"/>
      <color theme="1"/>
      <name val="Arial"/>
      <family val="2"/>
    </font>
    <font>
      <b/>
      <sz val="9"/>
      <color theme="1"/>
      <name val="Arial"/>
      <family val="2"/>
    </font>
    <font>
      <sz val="10"/>
      <color theme="1"/>
      <name val="Arial"/>
      <family val="2"/>
    </font>
    <font>
      <b/>
      <sz val="18"/>
      <color theme="1"/>
      <name val="Arial"/>
      <family val="2"/>
    </font>
    <font>
      <b/>
      <sz val="20"/>
      <color theme="1"/>
      <name val="Arial"/>
      <family val="2"/>
    </font>
    <font>
      <u/>
      <sz val="8"/>
      <color theme="10"/>
      <name val="Arial"/>
      <family val="2"/>
    </font>
    <font>
      <sz val="10"/>
      <name val="Arial"/>
      <family val="2"/>
    </font>
    <font>
      <b/>
      <sz val="12"/>
      <name val="Arial"/>
      <family val="2"/>
    </font>
    <font>
      <u/>
      <sz val="6"/>
      <color indexed="12"/>
      <name val="Arial"/>
      <family val="2"/>
    </font>
    <font>
      <b/>
      <sz val="10"/>
      <name val="Arial"/>
      <family val="2"/>
    </font>
    <font>
      <sz val="12"/>
      <color theme="1"/>
      <name val="Calibri"/>
      <family val="2"/>
      <scheme val="minor"/>
    </font>
    <font>
      <u/>
      <sz val="11"/>
      <color theme="10"/>
      <name val="Calibri"/>
      <family val="2"/>
      <scheme val="minor"/>
    </font>
    <font>
      <sz val="8"/>
      <name val="Arial"/>
      <family val="2"/>
    </font>
    <font>
      <b/>
      <sz val="11"/>
      <color indexed="32"/>
      <name val="Verdana"/>
      <family val="2"/>
    </font>
    <font>
      <sz val="8"/>
      <color indexed="32"/>
      <name val="Arial"/>
      <family val="2"/>
    </font>
    <font>
      <b/>
      <sz val="8"/>
      <name val="Arial"/>
      <family val="2"/>
    </font>
    <font>
      <sz val="8"/>
      <name val="Verdana"/>
      <family val="2"/>
    </font>
    <font>
      <sz val="8"/>
      <color indexed="8"/>
      <name val="Arial"/>
      <family val="2"/>
    </font>
    <font>
      <sz val="6"/>
      <color indexed="54"/>
      <name val="Arial"/>
      <family val="2"/>
    </font>
    <font>
      <sz val="8"/>
      <color theme="0"/>
      <name val="Arial"/>
      <family val="2"/>
    </font>
    <font>
      <sz val="8"/>
      <color rgb="FF8D2EA5"/>
      <name val="Arial"/>
      <family val="2"/>
    </font>
    <font>
      <b/>
      <sz val="8"/>
      <color rgb="FFFFFFFF"/>
      <name val="Arial"/>
      <family val="2"/>
    </font>
    <font>
      <sz val="8"/>
      <color rgb="FF0039A6"/>
      <name val="Arial"/>
      <family val="2"/>
    </font>
    <font>
      <sz val="8"/>
      <color rgb="FF8B8D8E"/>
      <name val="Verdana"/>
      <family val="2"/>
    </font>
    <font>
      <sz val="8"/>
      <color rgb="FFA2A4A4"/>
      <name val="Arial"/>
      <family val="2"/>
    </font>
    <font>
      <b/>
      <sz val="10"/>
      <color rgb="FF8B8D8E"/>
      <name val="Verdana"/>
      <family val="2"/>
    </font>
    <font>
      <b/>
      <sz val="9"/>
      <color rgb="FF8B8D8E"/>
      <name val="Verdana"/>
      <family val="2"/>
    </font>
    <font>
      <sz val="7"/>
      <color rgb="FF8B8D8E"/>
      <name val="Arial"/>
      <family val="2"/>
    </font>
    <font>
      <b/>
      <sz val="8"/>
      <color theme="0"/>
      <name val="Verdana"/>
      <family val="2"/>
    </font>
    <font>
      <b/>
      <sz val="8"/>
      <color rgb="FF7AB800"/>
      <name val="Verdana"/>
      <family val="2"/>
    </font>
    <font>
      <sz val="8"/>
      <color rgb="FFBD0C30"/>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u/>
      <sz val="10"/>
      <color theme="10"/>
      <name val="Arial"/>
      <family val="2"/>
    </font>
    <font>
      <b/>
      <sz val="24"/>
      <color theme="1" tint="0.249977111117893"/>
      <name val="Arial"/>
      <family val="2"/>
    </font>
    <font>
      <i/>
      <sz val="10"/>
      <color theme="1" tint="0.499984740745262"/>
      <name val="Arial"/>
      <family val="2"/>
    </font>
    <font>
      <b/>
      <sz val="20"/>
      <color theme="1" tint="0.249977111117893"/>
      <name val="Arial"/>
      <family val="2"/>
    </font>
    <font>
      <b/>
      <sz val="16"/>
      <color theme="1" tint="0.249977111117893"/>
      <name val="Arial"/>
      <family val="2"/>
    </font>
    <font>
      <b/>
      <sz val="12"/>
      <color theme="1"/>
      <name val="Arial"/>
      <family val="2"/>
    </font>
    <font>
      <sz val="18"/>
      <color theme="1"/>
      <name val="Arial"/>
      <family val="2"/>
    </font>
    <font>
      <b/>
      <sz val="20"/>
      <name val="Arial"/>
      <family val="2"/>
    </font>
    <font>
      <u/>
      <sz val="11"/>
      <color rgb="FF0070C0"/>
      <name val="Arial"/>
      <family val="2"/>
    </font>
    <font>
      <b/>
      <sz val="20"/>
      <color theme="0"/>
      <name val="Calibri"/>
      <family val="2"/>
      <scheme val="minor"/>
    </font>
    <font>
      <b/>
      <sz val="11"/>
      <name val="Calibri"/>
      <family val="2"/>
      <scheme val="minor"/>
    </font>
    <font>
      <sz val="11"/>
      <color rgb="FF006100"/>
      <name val="Calibri"/>
      <family val="2"/>
      <scheme val="minor"/>
    </font>
    <font>
      <b/>
      <u/>
      <sz val="12"/>
      <color rgb="FF0000FF"/>
      <name val="Calibri"/>
      <family val="2"/>
    </font>
    <font>
      <b/>
      <u/>
      <sz val="11"/>
      <color theme="10"/>
      <name val="Calibri"/>
      <family val="2"/>
    </font>
    <font>
      <b/>
      <u/>
      <sz val="12"/>
      <color theme="10"/>
      <name val="Calibri"/>
      <family val="2"/>
    </font>
    <font>
      <sz val="11"/>
      <color rgb="FFFF0000"/>
      <name val="Calibri"/>
      <family val="2"/>
      <scheme val="minor"/>
    </font>
    <font>
      <sz val="11"/>
      <color theme="0"/>
      <name val="Calibri"/>
      <family val="2"/>
      <scheme val="minor"/>
    </font>
    <font>
      <b/>
      <sz val="14"/>
      <name val="Calibri"/>
      <family val="2"/>
      <scheme val="minor"/>
    </font>
    <font>
      <b/>
      <sz val="11"/>
      <color rgb="FFFF0000"/>
      <name val="Calibri"/>
      <family val="2"/>
      <scheme val="minor"/>
    </font>
    <font>
      <b/>
      <i/>
      <sz val="11"/>
      <color theme="1"/>
      <name val="Calibri"/>
      <family val="2"/>
      <scheme val="minor"/>
    </font>
    <font>
      <vertAlign val="subscript"/>
      <sz val="11"/>
      <color theme="1"/>
      <name val="Calibri"/>
      <family val="2"/>
      <scheme val="minor"/>
    </font>
    <font>
      <b/>
      <i/>
      <sz val="11"/>
      <name val="Calibri"/>
      <family val="2"/>
      <scheme val="minor"/>
    </font>
    <font>
      <b/>
      <sz val="14"/>
      <color theme="1"/>
      <name val="Calibri"/>
      <family val="2"/>
      <scheme val="minor"/>
    </font>
    <font>
      <sz val="14"/>
      <color theme="1"/>
      <name val="Calibri"/>
      <family val="2"/>
      <scheme val="minor"/>
    </font>
    <font>
      <sz val="8"/>
      <color rgb="FFFF0000"/>
      <name val="Arial"/>
      <family val="2"/>
    </font>
    <font>
      <b/>
      <i/>
      <sz val="8"/>
      <name val="Arial"/>
      <family val="2"/>
    </font>
    <font>
      <b/>
      <sz val="16"/>
      <color theme="1"/>
      <name val="Arial"/>
      <family val="2"/>
    </font>
    <font>
      <b/>
      <sz val="12"/>
      <color theme="1"/>
      <name val="Calibri"/>
      <family val="2"/>
      <scheme val="minor"/>
    </font>
    <font>
      <sz val="16"/>
      <color theme="1"/>
      <name val="Arial}"/>
    </font>
    <font>
      <b/>
      <sz val="18"/>
      <color theme="1" tint="0.249977111117893"/>
      <name val="Arial"/>
      <family val="2"/>
    </font>
    <font>
      <b/>
      <sz val="18"/>
      <name val="Arial"/>
      <family val="2"/>
    </font>
    <font>
      <sz val="12"/>
      <color theme="1"/>
      <name val="Arial}"/>
    </font>
    <font>
      <b/>
      <sz val="20"/>
      <color theme="1"/>
      <name val="Arial}"/>
    </font>
  </fonts>
  <fills count="91">
    <fill>
      <patternFill patternType="none"/>
    </fill>
    <fill>
      <patternFill patternType="gray125"/>
    </fill>
    <fill>
      <patternFill patternType="solid">
        <fgColor rgb="FFCFD0D1"/>
        <bgColor rgb="FF000000"/>
      </patternFill>
    </fill>
    <fill>
      <patternFill patternType="solid">
        <fgColor theme="1" tint="0.34998626667073579"/>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indexed="44"/>
        <bgColor indexed="64"/>
      </patternFill>
    </fill>
    <fill>
      <patternFill patternType="solid">
        <fgColor indexed="13"/>
        <bgColor indexed="64"/>
      </patternFill>
    </fill>
    <fill>
      <patternFill patternType="solid">
        <fgColor indexed="46"/>
        <bgColor indexed="64"/>
      </patternFill>
    </fill>
    <fill>
      <patternFill patternType="solid">
        <fgColor indexed="18"/>
        <bgColor indexed="64"/>
      </patternFill>
    </fill>
    <fill>
      <patternFill patternType="solid">
        <fgColor indexed="54"/>
        <bgColor indexed="64"/>
      </patternFill>
    </fill>
    <fill>
      <patternFill patternType="solid">
        <fgColor indexed="10"/>
        <bgColor indexed="64"/>
      </patternFill>
    </fill>
    <fill>
      <patternFill patternType="solid">
        <fgColor indexed="17"/>
        <bgColor indexed="64"/>
      </patternFill>
    </fill>
    <fill>
      <patternFill patternType="solid">
        <fgColor indexed="52"/>
        <bgColor indexed="64"/>
      </patternFill>
    </fill>
    <fill>
      <patternFill patternType="solid">
        <fgColor indexed="55"/>
        <bgColor indexed="64"/>
      </patternFill>
    </fill>
    <fill>
      <patternFill patternType="solid">
        <fgColor indexed="32"/>
        <bgColor indexed="64"/>
      </patternFill>
    </fill>
    <fill>
      <patternFill patternType="solid">
        <fgColor indexed="56"/>
        <bgColor indexed="64"/>
      </patternFill>
    </fill>
    <fill>
      <patternFill patternType="solid">
        <fgColor indexed="62"/>
        <bgColor indexed="64"/>
      </patternFill>
    </fill>
    <fill>
      <patternFill patternType="solid">
        <fgColor indexed="33"/>
        <bgColor indexed="64"/>
      </patternFill>
    </fill>
    <fill>
      <patternFill patternType="solid">
        <fgColor indexed="50"/>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indexed="60"/>
        <bgColor indexed="64"/>
      </patternFill>
    </fill>
    <fill>
      <patternFill patternType="solid">
        <fgColor indexed="53"/>
        <bgColor indexed="64"/>
      </patternFill>
    </fill>
    <fill>
      <patternFill patternType="solid">
        <fgColor indexed="23"/>
        <bgColor indexed="64"/>
      </patternFill>
    </fill>
    <fill>
      <patternFill patternType="solid">
        <fgColor indexed="39"/>
        <bgColor indexed="64"/>
      </patternFill>
    </fill>
    <fill>
      <patternFill patternType="solid">
        <fgColor indexed="38"/>
        <bgColor indexed="64"/>
      </patternFill>
    </fill>
    <fill>
      <patternFill patternType="solid">
        <fgColor indexed="63"/>
        <bgColor indexed="64"/>
      </patternFill>
    </fill>
    <fill>
      <patternFill patternType="solid">
        <fgColor rgb="FFD1339D"/>
        <bgColor indexed="64"/>
      </patternFill>
    </fill>
    <fill>
      <patternFill patternType="solid">
        <fgColor rgb="FF8E58B7"/>
        <bgColor indexed="64"/>
      </patternFill>
    </fill>
    <fill>
      <patternFill patternType="solid">
        <fgColor rgb="FF50458F"/>
        <bgColor indexed="64"/>
      </patternFill>
    </fill>
    <fill>
      <patternFill patternType="solid">
        <fgColor indexed="31"/>
        <bgColor indexed="64"/>
      </patternFill>
    </fill>
    <fill>
      <patternFill patternType="solid">
        <fgColor indexed="30"/>
        <bgColor indexed="64"/>
      </patternFill>
    </fill>
    <fill>
      <patternFill patternType="solid">
        <fgColor rgb="FFE5E533"/>
        <bgColor indexed="64"/>
      </patternFill>
    </fill>
    <fill>
      <patternFill patternType="solid">
        <fgColor indexed="59"/>
        <bgColor indexed="64"/>
      </patternFill>
    </fill>
    <fill>
      <patternFill patternType="solid">
        <fgColor rgb="FFAA82C9"/>
        <bgColor indexed="64"/>
      </patternFill>
    </fill>
    <fill>
      <patternFill patternType="solid">
        <fgColor indexed="9"/>
        <bgColor indexed="64"/>
      </patternFill>
    </fill>
    <fill>
      <patternFill patternType="solid">
        <fgColor rgb="FFE899CE"/>
        <bgColor indexed="64"/>
      </patternFill>
    </fill>
    <fill>
      <patternFill patternType="solid">
        <fgColor indexed="19"/>
        <bgColor indexed="64"/>
      </patternFill>
    </fill>
    <fill>
      <patternFill patternType="solid">
        <fgColor indexed="12"/>
        <bgColor indexed="64"/>
      </patternFill>
    </fill>
    <fill>
      <patternFill patternType="solid">
        <fgColor indexed="61"/>
        <bgColor indexed="64"/>
      </patternFill>
    </fill>
    <fill>
      <patternFill patternType="solid">
        <fgColor indexed="24"/>
        <bgColor indexed="64"/>
      </patternFill>
    </fill>
    <fill>
      <patternFill patternType="solid">
        <fgColor indexed="40"/>
        <bgColor indexed="64"/>
      </patternFill>
    </fill>
    <fill>
      <patternFill patternType="solid">
        <fgColor indexed="11"/>
        <bgColor indexed="64"/>
      </patternFill>
    </fill>
    <fill>
      <patternFill patternType="solid">
        <fgColor indexed="26"/>
        <bgColor indexed="64"/>
      </patternFill>
    </fill>
    <fill>
      <patternFill patternType="solid">
        <fgColor indexed="43"/>
        <bgColor indexed="64"/>
      </patternFill>
    </fill>
    <fill>
      <patternFill patternType="solid">
        <fgColor rgb="FFD9D9D9"/>
        <bgColor rgb="FF000000"/>
      </patternFill>
    </fill>
    <fill>
      <patternFill patternType="solid">
        <fgColor theme="1" tint="0.249977111117893"/>
        <bgColor indexed="64"/>
      </patternFill>
    </fill>
    <fill>
      <patternFill patternType="solid">
        <fgColor theme="6" tint="0.59999389629810485"/>
        <bgColor indexed="64"/>
      </patternFill>
    </fill>
    <fill>
      <patternFill patternType="solid">
        <fgColor rgb="FF7030A0"/>
        <bgColor indexed="64"/>
      </patternFill>
    </fill>
    <fill>
      <patternFill patternType="solid">
        <fgColor theme="7" tint="0.79998168889431442"/>
        <bgColor indexed="64"/>
      </patternFill>
    </fill>
    <fill>
      <patternFill patternType="solid">
        <fgColor rgb="FFC6EFCE"/>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s>
  <borders count="41">
    <border>
      <left/>
      <right/>
      <top/>
      <bottom/>
      <diagonal/>
    </border>
    <border>
      <left style="thin">
        <color auto="1"/>
      </left>
      <right style="thin">
        <color auto="1"/>
      </right>
      <top style="thin">
        <color auto="1"/>
      </top>
      <bottom style="thin">
        <color auto="1"/>
      </bottom>
      <diagonal/>
    </border>
    <border>
      <left style="hair">
        <color indexed="43"/>
      </left>
      <right style="hair">
        <color indexed="43"/>
      </right>
      <top style="hair">
        <color indexed="43"/>
      </top>
      <bottom style="hair">
        <color indexed="43"/>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hair">
        <color indexed="13"/>
      </left>
      <right style="hair">
        <color indexed="13"/>
      </right>
      <top style="hair">
        <color indexed="13"/>
      </top>
      <bottom style="hair">
        <color indexed="13"/>
      </bottom>
      <diagonal/>
    </border>
    <border>
      <left/>
      <right/>
      <top style="thin">
        <color indexed="33"/>
      </top>
      <bottom/>
      <diagonal/>
    </border>
    <border>
      <left/>
      <right/>
      <top/>
      <bottom style="medium">
        <color indexed="33"/>
      </bottom>
      <diagonal/>
    </border>
    <border>
      <left/>
      <right/>
      <top/>
      <bottom style="thin">
        <color indexed="33"/>
      </bottom>
      <diagonal/>
    </border>
    <border>
      <left/>
      <right/>
      <top/>
      <bottom style="thin">
        <color indexed="34"/>
      </bottom>
      <diagonal/>
    </border>
    <border>
      <left style="hair">
        <color indexed="47"/>
      </left>
      <right style="hair">
        <color indexed="47"/>
      </right>
      <top style="hair">
        <color indexed="47"/>
      </top>
      <bottom style="hair">
        <color indexed="47"/>
      </bottom>
      <diagonal/>
    </border>
    <border>
      <left style="hair">
        <color indexed="43"/>
      </left>
      <right style="hair">
        <color indexed="43"/>
      </right>
      <top style="hair">
        <color indexed="43"/>
      </top>
      <bottom style="thin">
        <color indexed="34"/>
      </bottom>
      <diagonal/>
    </border>
    <border>
      <left style="hair">
        <color indexed="43"/>
      </left>
      <right style="hair">
        <color indexed="43"/>
      </right>
      <top style="hair">
        <color indexed="43"/>
      </top>
      <bottom style="thin">
        <color indexed="33"/>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style="medium">
        <color auto="1"/>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06">
    <xf numFmtId="0" fontId="0" fillId="0" borderId="0"/>
    <xf numFmtId="9" fontId="1" fillId="0" borderId="0" applyFont="0" applyFill="0" applyBorder="0" applyAlignment="0" applyProtection="0"/>
    <xf numFmtId="0" fontId="4" fillId="0" borderId="2" applyNumberFormat="0" applyFont="0" applyAlignment="0"/>
    <xf numFmtId="0" fontId="13" fillId="0" borderId="0" applyNumberFormat="0" applyFill="0" applyBorder="0" applyAlignment="0" applyProtection="0"/>
    <xf numFmtId="43" fontId="1" fillId="0" borderId="0" applyFont="0" applyFill="0" applyBorder="0" applyAlignment="0" applyProtection="0"/>
    <xf numFmtId="168" fontId="1" fillId="0" borderId="0"/>
    <xf numFmtId="0" fontId="25" fillId="33" borderId="0" applyNumberFormat="0" applyBorder="0" applyAlignment="0" applyProtection="0"/>
    <xf numFmtId="9" fontId="34" fillId="0" borderId="0" applyFont="0" applyFill="0" applyBorder="0" applyAlignment="0" applyProtection="0"/>
    <xf numFmtId="0" fontId="25" fillId="36" borderId="0" applyNumberFormat="0" applyBorder="0" applyAlignment="0" applyProtection="0"/>
    <xf numFmtId="168" fontId="1" fillId="0" borderId="0"/>
    <xf numFmtId="168" fontId="34" fillId="0" borderId="0">
      <alignment wrapText="1"/>
    </xf>
    <xf numFmtId="43" fontId="1" fillId="0" borderId="0" applyFont="0" applyFill="0" applyBorder="0" applyAlignment="0" applyProtection="0"/>
    <xf numFmtId="168" fontId="38" fillId="0" borderId="0">
      <alignment wrapText="1"/>
    </xf>
    <xf numFmtId="168" fontId="39" fillId="0" borderId="0" applyNumberFormat="0" applyFill="0" applyBorder="0" applyAlignment="0" applyProtection="0"/>
    <xf numFmtId="168" fontId="38" fillId="0" borderId="0"/>
    <xf numFmtId="0" fontId="25" fillId="38" borderId="0" applyNumberFormat="0" applyBorder="0" applyAlignment="0" applyProtection="0"/>
    <xf numFmtId="0" fontId="25" fillId="32" borderId="0" applyNumberFormat="0" applyBorder="0" applyAlignment="0" applyProtection="0"/>
    <xf numFmtId="0" fontId="40" fillId="0" borderId="0"/>
    <xf numFmtId="0" fontId="25" fillId="35" borderId="0" applyNumberFormat="0" applyBorder="0" applyAlignment="0" applyProtection="0"/>
    <xf numFmtId="0" fontId="25" fillId="40" borderId="0" applyNumberFormat="0" applyBorder="0" applyAlignment="0" applyProtection="0"/>
    <xf numFmtId="0" fontId="25" fillId="34" borderId="0" applyNumberFormat="0" applyBorder="0" applyAlignment="0" applyProtection="0"/>
    <xf numFmtId="0" fontId="25" fillId="39" borderId="0" applyNumberFormat="0" applyBorder="0" applyAlignment="0" applyProtection="0"/>
    <xf numFmtId="0" fontId="25" fillId="37"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47" fillId="44" borderId="0" applyNumberFormat="0" applyBorder="0" applyAlignment="0" applyProtection="0"/>
    <xf numFmtId="0" fontId="25"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 fillId="13" borderId="0" applyNumberFormat="0" applyBorder="0" applyAlignment="0" applyProtection="0"/>
    <xf numFmtId="0" fontId="25" fillId="14" borderId="0" applyNumberFormat="0" applyBorder="0" applyAlignment="0" applyProtection="0"/>
    <xf numFmtId="0" fontId="4" fillId="50" borderId="0" applyNumberFormat="0" applyBorder="0" applyAlignment="0" applyProtection="0"/>
    <xf numFmtId="0" fontId="4" fillId="51" borderId="16" applyNumberFormat="0" applyAlignment="0" applyProtection="0"/>
    <xf numFmtId="0" fontId="48" fillId="52" borderId="0" applyNumberFormat="0" applyAlignment="0" applyProtection="0"/>
    <xf numFmtId="0" fontId="4" fillId="0" borderId="8" applyNumberFormat="0" applyFont="0" applyFill="0" applyAlignment="0"/>
    <xf numFmtId="0" fontId="4" fillId="23" borderId="8" applyNumberFormat="0" applyFont="0" applyAlignment="0"/>
    <xf numFmtId="0" fontId="4" fillId="25" borderId="8" applyNumberFormat="0" applyFont="0" applyAlignment="0"/>
    <xf numFmtId="0" fontId="4" fillId="26" borderId="8" applyNumberFormat="0" applyFont="0" applyAlignment="0"/>
    <xf numFmtId="0" fontId="4" fillId="24" borderId="8" applyNumberFormat="0" applyFont="0" applyAlignment="0"/>
    <xf numFmtId="0" fontId="49" fillId="27" borderId="8" applyNumberFormat="0" applyAlignment="0"/>
    <xf numFmtId="0" fontId="46" fillId="0" borderId="0" applyNumberFormat="0" applyFill="0" applyBorder="0" applyAlignment="0"/>
    <xf numFmtId="0" fontId="50" fillId="0" borderId="0" applyNumberFormat="0" applyFill="0" applyBorder="0" applyAlignment="0"/>
    <xf numFmtId="0" fontId="51" fillId="0" borderId="9" applyNumberFormat="0" applyFill="0" applyAlignment="0"/>
    <xf numFmtId="3" fontId="4" fillId="28" borderId="8" applyNumberFormat="0" applyFont="0" applyAlignment="0">
      <protection locked="0"/>
    </xf>
    <xf numFmtId="1" fontId="42" fillId="28" borderId="8" applyNumberFormat="0" applyAlignment="0">
      <protection locked="0"/>
    </xf>
    <xf numFmtId="0" fontId="4" fillId="29" borderId="8" applyNumberFormat="0" applyFont="0" applyAlignment="0"/>
    <xf numFmtId="3" fontId="4" fillId="21" borderId="8" applyNumberFormat="0" applyFont="0" applyAlignment="0">
      <protection locked="0"/>
    </xf>
    <xf numFmtId="1" fontId="4" fillId="0" borderId="8" applyNumberFormat="0" applyFont="0" applyAlignment="0">
      <protection locked="0"/>
    </xf>
    <xf numFmtId="0" fontId="52" fillId="0" borderId="0" applyNumberFormat="0" applyFill="0" applyBorder="0">
      <alignment horizontal="right"/>
    </xf>
    <xf numFmtId="0" fontId="41" fillId="0" borderId="10" applyNumberFormat="0" applyFill="0" applyAlignment="0"/>
    <xf numFmtId="0" fontId="53" fillId="0" borderId="11" applyNumberFormat="0" applyFill="0" applyAlignment="0"/>
    <xf numFmtId="0" fontId="54" fillId="0" borderId="12" applyNumberFormat="0" applyFill="0" applyAlignment="0"/>
    <xf numFmtId="0" fontId="55" fillId="0" borderId="0" applyNumberFormat="0" applyFill="0" applyBorder="0" applyAlignment="0"/>
    <xf numFmtId="0" fontId="44" fillId="0" borderId="13" applyNumberFormat="0" applyAlignment="0"/>
    <xf numFmtId="0" fontId="44" fillId="0" borderId="2" applyNumberFormat="0" applyAlignment="0"/>
    <xf numFmtId="0" fontId="43" fillId="0" borderId="14" applyNumberFormat="0">
      <alignment wrapText="1"/>
    </xf>
    <xf numFmtId="0" fontId="56" fillId="30" borderId="0" applyNumberFormat="0" applyBorder="0">
      <alignment wrapText="1"/>
    </xf>
    <xf numFmtId="0" fontId="57" fillId="0" borderId="15" applyNumberFormat="0">
      <alignment wrapText="1"/>
    </xf>
    <xf numFmtId="0" fontId="4" fillId="31" borderId="0" applyNumberFormat="0" applyFont="0" applyBorder="0" applyAlignment="0">
      <protection locked="0"/>
    </xf>
    <xf numFmtId="0" fontId="58" fillId="17" borderId="0" applyNumberFormat="0" applyBorder="0" applyAlignment="0">
      <protection locked="0"/>
    </xf>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25" fillId="53" borderId="0" applyNumberFormat="0" applyBorder="0" applyAlignment="0" applyProtection="0"/>
    <xf numFmtId="0" fontId="61" fillId="0" borderId="17" applyNumberFormat="0" applyFill="0" applyAlignment="0" applyProtection="0"/>
    <xf numFmtId="0" fontId="62" fillId="0" borderId="18" applyNumberFormat="0" applyFill="0" applyAlignment="0" applyProtection="0"/>
    <xf numFmtId="0" fontId="63" fillId="0" borderId="18" applyNumberFormat="0" applyFill="0" applyAlignment="0" applyProtection="0"/>
    <xf numFmtId="0" fontId="64" fillId="0" borderId="0" applyNumberFormat="0" applyBorder="0" applyAlignment="0" applyProtection="0"/>
    <xf numFmtId="0" fontId="65" fillId="0" borderId="0" applyNumberFormat="0" applyFill="0" applyBorder="0" applyAlignment="0" applyProtection="0">
      <alignment vertical="top"/>
      <protection locked="0"/>
    </xf>
    <xf numFmtId="0" fontId="4" fillId="28" borderId="0" applyNumberFormat="0" applyAlignment="0" applyProtection="0"/>
    <xf numFmtId="0" fontId="4" fillId="54" borderId="0" applyNumberFormat="0" applyAlignment="0" applyProtection="0"/>
    <xf numFmtId="0" fontId="25" fillId="55" borderId="0" applyNumberFormat="0" applyBorder="0" applyAlignment="0" applyProtection="0"/>
    <xf numFmtId="0" fontId="59" fillId="0" borderId="0" applyNumberFormat="0" applyAlignment="0" applyProtection="0"/>
    <xf numFmtId="0" fontId="66" fillId="56" borderId="0" applyNumberFormat="0" applyAlignment="0" applyProtection="0"/>
    <xf numFmtId="0" fontId="67" fillId="0" borderId="0" applyNumberFormat="0" applyFill="0" applyBorder="0" applyAlignment="0" applyProtection="0"/>
    <xf numFmtId="0" fontId="68" fillId="0" borderId="19" applyNumberFormat="0" applyFill="0" applyAlignment="0" applyProtection="0"/>
    <xf numFmtId="0" fontId="69"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2" borderId="0" applyNumberFormat="0" applyBorder="0" applyAlignment="0" applyProtection="0"/>
    <xf numFmtId="0" fontId="4" fillId="63" borderId="0" applyNumberFormat="0" applyBorder="0" applyAlignment="0" applyProtection="0"/>
    <xf numFmtId="0" fontId="47" fillId="64"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22" borderId="0" applyNumberFormat="0" applyBorder="0" applyAlignment="0" applyProtection="0"/>
    <xf numFmtId="0" fontId="45" fillId="72" borderId="0" applyNumberFormat="0" applyBorder="0" applyAlignment="0" applyProtection="0"/>
    <xf numFmtId="0" fontId="45" fillId="20" borderId="0" applyNumberFormat="0" applyBorder="0" applyAlignment="0" applyProtection="0"/>
    <xf numFmtId="0" fontId="4" fillId="29"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5" fillId="15" borderId="0" applyNumberFormat="0" applyBorder="0" applyAlignment="0" applyProtection="0"/>
    <xf numFmtId="0" fontId="45" fillId="76" borderId="0" applyNumberFormat="0" applyBorder="0" applyAlignment="0" applyProtection="0"/>
    <xf numFmtId="0" fontId="4" fillId="21" borderId="0" applyNumberFormat="0" applyBorder="0" applyAlignment="0" applyProtection="0"/>
    <xf numFmtId="171" fontId="4" fillId="0" borderId="0" applyFont="0" applyFill="0" applyBorder="0" applyAlignment="0" applyProtection="0"/>
    <xf numFmtId="0" fontId="4" fillId="50" borderId="0" applyNumberFormat="0" applyBorder="0" applyAlignment="0" applyProtection="0"/>
    <xf numFmtId="0" fontId="4" fillId="51" borderId="16" applyNumberFormat="0" applyAlignment="0" applyProtection="0"/>
    <xf numFmtId="171" fontId="4" fillId="0" borderId="0" applyFont="0" applyFill="0" applyBorder="0" applyAlignment="0" applyProtection="0"/>
    <xf numFmtId="170" fontId="4" fillId="0" borderId="0" applyFont="0" applyFill="0" applyBorder="0" applyAlignment="0" applyProtection="0"/>
    <xf numFmtId="173"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1" fontId="4" fillId="0" borderId="0" applyFont="0" applyFill="0" applyBorder="0" applyAlignment="0" applyProtection="0"/>
    <xf numFmtId="1" fontId="4" fillId="0" borderId="8" applyNumberFormat="0" applyFont="0" applyAlignment="0">
      <protection locked="0"/>
    </xf>
    <xf numFmtId="0" fontId="4" fillId="0" borderId="2" applyNumberFormat="0" applyFont="0" applyAlignment="0"/>
    <xf numFmtId="0" fontId="4" fillId="28" borderId="0" applyNumberFormat="0" applyAlignment="0" applyProtection="0"/>
    <xf numFmtId="0" fontId="4" fillId="54" borderId="0" applyNumberFormat="0" applyAlignment="0" applyProtection="0"/>
    <xf numFmtId="9" fontId="4" fillId="0" borderId="0" applyFont="0" applyFill="0" applyBorder="0" applyAlignment="0" applyProtection="0"/>
    <xf numFmtId="173" fontId="4" fillId="0" borderId="0" applyFont="0" applyFill="0" applyBorder="0" applyAlignment="0" applyProtection="0"/>
    <xf numFmtId="0" fontId="1" fillId="0" borderId="0"/>
    <xf numFmtId="9" fontId="1" fillId="0" borderId="0" applyFont="0" applyFill="0" applyBorder="0" applyAlignment="0" applyProtection="0"/>
    <xf numFmtId="171" fontId="1" fillId="0" borderId="0" applyFont="0" applyFill="0" applyBorder="0" applyAlignment="0" applyProtection="0"/>
    <xf numFmtId="169" fontId="34" fillId="0" borderId="0"/>
    <xf numFmtId="9" fontId="34" fillId="0" borderId="0" applyFont="0" applyFill="0" applyBorder="0" applyAlignment="0" applyProtection="0"/>
    <xf numFmtId="169" fontId="34" fillId="0" borderId="0"/>
    <xf numFmtId="43" fontId="34" fillId="0" borderId="0" applyFont="0" applyFill="0" applyBorder="0" applyAlignment="0" applyProtection="0"/>
    <xf numFmtId="169" fontId="36" fillId="0" borderId="0" applyNumberFormat="0" applyFill="0" applyBorder="0" applyAlignment="0" applyProtection="0">
      <alignment vertical="top"/>
      <protection locked="0"/>
    </xf>
    <xf numFmtId="169" fontId="36" fillId="0" borderId="0" applyNumberFormat="0" applyFill="0" applyBorder="0" applyAlignment="0" applyProtection="0">
      <alignment vertical="top"/>
      <protection locked="0"/>
    </xf>
    <xf numFmtId="169" fontId="36" fillId="0" borderId="0" applyNumberFormat="0" applyFill="0" applyBorder="0" applyAlignment="0" applyProtection="0">
      <alignment vertical="top"/>
      <protection locked="0"/>
    </xf>
    <xf numFmtId="169" fontId="36" fillId="0" borderId="0" applyNumberFormat="0" applyFill="0" applyBorder="0" applyAlignment="0" applyProtection="0">
      <alignment vertical="top"/>
      <protection locked="0"/>
    </xf>
    <xf numFmtId="169" fontId="36" fillId="0" borderId="0" applyNumberFormat="0" applyFill="0" applyBorder="0" applyAlignment="0" applyProtection="0">
      <alignment vertical="top"/>
      <protection locked="0"/>
    </xf>
    <xf numFmtId="174" fontId="36" fillId="0" borderId="0" applyNumberFormat="0" applyFill="0" applyBorder="0" applyAlignment="0" applyProtection="0">
      <alignment vertical="top"/>
      <protection locked="0"/>
    </xf>
    <xf numFmtId="175" fontId="36" fillId="0" borderId="0" applyNumberFormat="0" applyFill="0" applyBorder="0" applyAlignment="0" applyProtection="0">
      <alignment vertical="top"/>
      <protection locked="0"/>
    </xf>
    <xf numFmtId="175" fontId="36" fillId="0" borderId="0" applyNumberFormat="0" applyFill="0" applyBorder="0" applyAlignment="0" applyProtection="0">
      <alignment vertical="top"/>
      <protection locked="0"/>
    </xf>
    <xf numFmtId="168" fontId="36" fillId="0" borderId="0" applyNumberFormat="0" applyFill="0" applyBorder="0" applyAlignment="0" applyProtection="0">
      <alignment vertical="top"/>
      <protection locked="0"/>
    </xf>
    <xf numFmtId="169" fontId="34" fillId="0" borderId="0"/>
    <xf numFmtId="169" fontId="34" fillId="0" borderId="0"/>
    <xf numFmtId="169" fontId="34" fillId="0" borderId="0"/>
    <xf numFmtId="169" fontId="34" fillId="0" borderId="0"/>
    <xf numFmtId="169" fontId="1" fillId="0" borderId="0"/>
    <xf numFmtId="169" fontId="1" fillId="0" borderId="0"/>
    <xf numFmtId="168" fontId="34"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1" fillId="0" borderId="0"/>
    <xf numFmtId="0" fontId="35" fillId="77" borderId="0" applyNumberFormat="0">
      <alignment horizontal="left"/>
    </xf>
    <xf numFmtId="0" fontId="35" fillId="19" borderId="0" applyNumberFormat="0">
      <alignment horizontal="left"/>
    </xf>
    <xf numFmtId="0" fontId="35" fillId="15" borderId="0" applyNumberFormat="0">
      <alignment horizontal="left"/>
    </xf>
    <xf numFmtId="0" fontId="35" fillId="67" borderId="0" applyNumberFormat="0">
      <alignment horizontal="left"/>
    </xf>
    <xf numFmtId="0" fontId="35" fillId="78" borderId="0" applyNumberFormat="0">
      <alignment horizontal="left"/>
    </xf>
    <xf numFmtId="0" fontId="35" fillId="79" borderId="0" applyNumberFormat="0">
      <alignment horizontal="left"/>
    </xf>
    <xf numFmtId="0" fontId="34" fillId="80" borderId="0" applyNumberFormat="0" applyBorder="0"/>
    <xf numFmtId="0" fontId="37" fillId="77" borderId="0" applyNumberFormat="0" applyBorder="0">
      <alignment horizontal="left" wrapText="1"/>
    </xf>
    <xf numFmtId="0" fontId="34" fillId="81" borderId="0" applyNumberFormat="0" applyBorder="0">
      <protection locked="0"/>
    </xf>
    <xf numFmtId="0" fontId="37" fillId="19" borderId="0" applyNumberFormat="0" applyBorder="0">
      <alignment horizontal="left" wrapText="1"/>
    </xf>
    <xf numFmtId="0" fontId="34" fillId="72" borderId="0" applyNumberFormat="0" applyBorder="0"/>
    <xf numFmtId="0" fontId="37" fillId="15" borderId="0" applyNumberFormat="0" applyBorder="0">
      <alignment horizontal="left" wrapText="1"/>
    </xf>
    <xf numFmtId="0" fontId="34" fillId="20" borderId="0" applyNumberFormat="0" applyBorder="0"/>
    <xf numFmtId="0" fontId="37" fillId="67" borderId="0" applyNumberFormat="0" applyBorder="0">
      <alignment horizontal="left" wrapText="1"/>
    </xf>
    <xf numFmtId="0" fontId="34" fillId="18" borderId="0" applyNumberFormat="0" applyBorder="0"/>
    <xf numFmtId="0" fontId="37" fillId="78" borderId="0" applyNumberFormat="0" applyBorder="0">
      <alignment horizontal="left" wrapText="1"/>
    </xf>
    <xf numFmtId="0" fontId="34" fillId="63" borderId="0" applyNumberFormat="0" applyBorder="0"/>
    <xf numFmtId="0" fontId="37" fillId="72" borderId="0" applyNumberFormat="0" applyBorder="0">
      <alignment horizontal="left" wrapText="1"/>
    </xf>
    <xf numFmtId="0" fontId="34" fillId="16" borderId="0" applyNumberFormat="0" applyBorder="0">
      <protection locked="0"/>
    </xf>
    <xf numFmtId="0" fontId="37" fillId="79" borderId="0" applyNumberFormat="0" applyBorder="0">
      <alignment horizontal="left" wrapText="1"/>
    </xf>
    <xf numFmtId="0" fontId="1" fillId="0" borderId="0"/>
    <xf numFmtId="0" fontId="67" fillId="0" borderId="0" applyNumberForma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xf numFmtId="171" fontId="1" fillId="0" borderId="0" applyFont="0" applyFill="0" applyBorder="0" applyAlignment="0" applyProtection="0"/>
    <xf numFmtId="0" fontId="1" fillId="0" borderId="0"/>
    <xf numFmtId="169" fontId="34" fillId="0" borderId="0"/>
    <xf numFmtId="0" fontId="70" fillId="0" borderId="0" applyNumberFormat="0" applyFill="0" applyBorder="0" applyAlignment="0" applyProtection="0"/>
    <xf numFmtId="169" fontId="34" fillId="0" borderId="0"/>
    <xf numFmtId="0" fontId="65" fillId="0" borderId="0" applyNumberFormat="0" applyFill="0" applyBorder="0" applyAlignment="0" applyProtection="0">
      <alignment vertical="top"/>
      <protection locked="0"/>
    </xf>
    <xf numFmtId="0" fontId="1" fillId="0" borderId="0"/>
    <xf numFmtId="0" fontId="38" fillId="0" borderId="0"/>
    <xf numFmtId="168" fontId="1" fillId="0" borderId="0"/>
    <xf numFmtId="43" fontId="34" fillId="0" borderId="0" applyFont="0" applyFill="0" applyBorder="0" applyAlignment="0" applyProtection="0"/>
    <xf numFmtId="43" fontId="34" fillId="0" borderId="0" applyFont="0" applyFill="0" applyBorder="0" applyAlignment="0" applyProtection="0"/>
    <xf numFmtId="168" fontId="1" fillId="0" borderId="0"/>
    <xf numFmtId="168" fontId="83"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168" fontId="84" fillId="0" borderId="0" applyNumberFormat="0" applyFill="0" applyBorder="0" applyAlignment="0" applyProtection="0">
      <alignment vertical="top"/>
      <protection locked="0"/>
    </xf>
    <xf numFmtId="168" fontId="1" fillId="0" borderId="0"/>
    <xf numFmtId="168" fontId="83" fillId="0" borderId="0" applyNumberFormat="0" applyFill="0" applyBorder="0" applyAlignment="0" applyProtection="0">
      <alignment vertical="top"/>
      <protection locked="0"/>
    </xf>
    <xf numFmtId="168" fontId="84"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168" fontId="1" fillId="0" borderId="0"/>
    <xf numFmtId="168" fontId="81" fillId="87" borderId="0" applyNumberFormat="0" applyBorder="0" applyAlignment="0" applyProtection="0"/>
    <xf numFmtId="168" fontId="1" fillId="0" borderId="0"/>
    <xf numFmtId="168" fontId="83"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168" fontId="1" fillId="0" borderId="0"/>
    <xf numFmtId="168" fontId="84"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168" fontId="38" fillId="0" borderId="0"/>
    <xf numFmtId="168" fontId="1" fillId="0" borderId="0"/>
    <xf numFmtId="168" fontId="1" fillId="0" borderId="0"/>
    <xf numFmtId="43" fontId="1" fillId="0" borderId="0" applyFont="0" applyFill="0" applyBorder="0" applyAlignment="0" applyProtection="0"/>
    <xf numFmtId="0" fontId="39" fillId="0" borderId="0" applyNumberFormat="0" applyFill="0" applyBorder="0" applyAlignment="0" applyProtection="0"/>
  </cellStyleXfs>
  <cellXfs count="261">
    <xf numFmtId="0" fontId="0" fillId="0" borderId="0" xfId="0"/>
    <xf numFmtId="0" fontId="3" fillId="0" borderId="0" xfId="0" applyFont="1" applyFill="1" applyBorder="1"/>
    <xf numFmtId="0" fontId="4" fillId="0" borderId="0" xfId="0" applyFont="1" applyFill="1" applyBorder="1"/>
    <xf numFmtId="0" fontId="5" fillId="0" borderId="0" xfId="0" applyFont="1" applyFill="1" applyBorder="1" applyAlignment="1">
      <alignment horizontal="center" vertical="center"/>
    </xf>
    <xf numFmtId="0" fontId="4" fillId="0" borderId="0" xfId="0" applyFont="1" applyFill="1" applyBorder="1" applyAlignment="1">
      <alignment horizontal="left"/>
    </xf>
    <xf numFmtId="0" fontId="5" fillId="0" borderId="0" xfId="0" applyFont="1" applyFill="1" applyBorder="1" applyAlignment="1">
      <alignment horizontal="left" vertical="center"/>
    </xf>
    <xf numFmtId="0" fontId="5" fillId="2" borderId="0" xfId="0" applyFont="1" applyFill="1" applyBorder="1" applyAlignment="1">
      <alignment horizontal="center" vertical="center"/>
    </xf>
    <xf numFmtId="0" fontId="6" fillId="0" borderId="0" xfId="0" applyFont="1" applyFill="1" applyBorder="1" applyAlignment="1">
      <alignment horizontal="center" vertical="center"/>
    </xf>
    <xf numFmtId="4" fontId="4" fillId="0" borderId="0" xfId="0" applyNumberFormat="1" applyFont="1" applyFill="1" applyBorder="1" applyAlignment="1">
      <alignment horizontal="center"/>
    </xf>
    <xf numFmtId="0" fontId="4" fillId="0" borderId="0" xfId="0" applyFont="1" applyFill="1" applyBorder="1" applyAlignment="1">
      <alignment horizontal="center"/>
    </xf>
    <xf numFmtId="4" fontId="4" fillId="0" borderId="0" xfId="0" applyNumberFormat="1" applyFont="1" applyFill="1" applyBorder="1" applyAlignment="1">
      <alignment horizontal="left"/>
    </xf>
    <xf numFmtId="4" fontId="6" fillId="0" borderId="0" xfId="0" applyNumberFormat="1" applyFont="1" applyFill="1" applyBorder="1" applyAlignment="1">
      <alignment horizontal="center" vertical="center"/>
    </xf>
    <xf numFmtId="0" fontId="8" fillId="0" borderId="0" xfId="0" applyFont="1" applyBorder="1" applyAlignment="1">
      <alignment horizontal="left"/>
    </xf>
    <xf numFmtId="0" fontId="6" fillId="0" borderId="0" xfId="0" applyFont="1" applyFill="1" applyBorder="1" applyAlignment="1">
      <alignment horizontal="left" vertical="center"/>
    </xf>
    <xf numFmtId="0" fontId="9" fillId="0" borderId="0" xfId="0" applyFont="1" applyFill="1" applyBorder="1" applyAlignment="1" applyProtection="1">
      <alignment vertical="center"/>
      <protection hidden="1"/>
    </xf>
    <xf numFmtId="0" fontId="9" fillId="0" borderId="0" xfId="0" applyFont="1" applyAlignment="1" applyProtection="1">
      <alignment vertical="center"/>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9" fillId="0" borderId="0" xfId="0" applyFont="1" applyFill="1" applyAlignment="1" applyProtection="1">
      <alignment vertical="center"/>
      <protection hidden="1"/>
    </xf>
    <xf numFmtId="0" fontId="16" fillId="0" borderId="3" xfId="0" applyFont="1" applyBorder="1" applyAlignment="1" applyProtection="1">
      <alignment vertical="center"/>
      <protection hidden="1"/>
    </xf>
    <xf numFmtId="0" fontId="8" fillId="0" borderId="3" xfId="0" applyFont="1" applyBorder="1" applyAlignment="1" applyProtection="1">
      <alignment vertical="center"/>
      <protection hidden="1"/>
    </xf>
    <xf numFmtId="0" fontId="9" fillId="0" borderId="3" xfId="0" applyFont="1" applyBorder="1" applyAlignment="1" applyProtection="1">
      <alignment vertical="center"/>
      <protection hidden="1"/>
    </xf>
    <xf numFmtId="0" fontId="17" fillId="0" borderId="3" xfId="0" applyFont="1" applyBorder="1" applyAlignment="1" applyProtection="1">
      <alignment horizontal="right" vertical="center"/>
      <protection hidden="1"/>
    </xf>
    <xf numFmtId="0" fontId="18" fillId="0" borderId="0" xfId="0" applyFont="1" applyAlignment="1" applyProtection="1">
      <alignmen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center" indent="1"/>
      <protection hidden="1"/>
    </xf>
    <xf numFmtId="0" fontId="8" fillId="0" borderId="0" xfId="0" applyFont="1" applyAlignment="1" applyProtection="1">
      <alignment horizontal="right" vertical="center" indent="1"/>
      <protection hidden="1"/>
    </xf>
    <xf numFmtId="164" fontId="9" fillId="0" borderId="0" xfId="0" applyNumberFormat="1" applyFont="1" applyAlignment="1" applyProtection="1">
      <alignment vertical="center"/>
      <protection hidden="1"/>
    </xf>
    <xf numFmtId="0" fontId="8" fillId="0" borderId="0" xfId="0" applyFont="1" applyAlignment="1" applyProtection="1">
      <alignment horizontal="right" vertical="center"/>
      <protection hidden="1"/>
    </xf>
    <xf numFmtId="0" fontId="24" fillId="0" borderId="0" xfId="0" applyFont="1"/>
    <xf numFmtId="0" fontId="25" fillId="0" borderId="0" xfId="0" applyFont="1"/>
    <xf numFmtId="0" fontId="25" fillId="0" borderId="0" xfId="0" applyFont="1" applyAlignment="1">
      <alignment horizontal="center"/>
    </xf>
    <xf numFmtId="0" fontId="26" fillId="0" borderId="0" xfId="0" applyFont="1" applyAlignment="1" applyProtection="1">
      <alignment horizontal="left" vertical="center" indent="1"/>
      <protection hidden="1"/>
    </xf>
    <xf numFmtId="2" fontId="25" fillId="0" borderId="0" xfId="0" applyNumberFormat="1" applyFont="1"/>
    <xf numFmtId="0" fontId="26" fillId="0" borderId="0" xfId="0" applyFont="1" applyAlignment="1">
      <alignment horizontal="left"/>
    </xf>
    <xf numFmtId="167" fontId="25" fillId="0" borderId="0" xfId="0" applyNumberFormat="1" applyFont="1"/>
    <xf numFmtId="0" fontId="24" fillId="0" borderId="0" xfId="0" applyFont="1" applyAlignment="1">
      <alignment horizontal="left"/>
    </xf>
    <xf numFmtId="0" fontId="25" fillId="0" borderId="0" xfId="0" applyFont="1" applyAlignment="1">
      <alignment horizontal="center" vertical="center"/>
    </xf>
    <xf numFmtId="0" fontId="25" fillId="0" borderId="1" xfId="0" applyFont="1" applyBorder="1" applyAlignment="1">
      <alignment horizontal="left"/>
    </xf>
    <xf numFmtId="4" fontId="25" fillId="0" borderId="1" xfId="0" applyNumberFormat="1" applyFont="1" applyBorder="1" applyAlignment="1">
      <alignment horizontal="left"/>
    </xf>
    <xf numFmtId="0" fontId="25" fillId="0" borderId="1" xfId="0" applyFont="1" applyBorder="1"/>
    <xf numFmtId="0" fontId="24" fillId="5" borderId="1" xfId="0" applyFont="1" applyFill="1" applyBorder="1" applyAlignment="1">
      <alignment horizontal="center" vertical="center"/>
    </xf>
    <xf numFmtId="0" fontId="24" fillId="6" borderId="1" xfId="0" applyFont="1" applyFill="1" applyBorder="1" applyAlignment="1">
      <alignment horizontal="center" vertical="center"/>
    </xf>
    <xf numFmtId="4" fontId="25" fillId="0" borderId="1" xfId="0" applyNumberFormat="1" applyFont="1" applyBorder="1" applyAlignment="1">
      <alignment horizontal="center" vertical="center"/>
    </xf>
    <xf numFmtId="4" fontId="24" fillId="6" borderId="1" xfId="0" applyNumberFormat="1" applyFont="1" applyFill="1" applyBorder="1" applyAlignment="1">
      <alignment horizontal="center" vertical="center"/>
    </xf>
    <xf numFmtId="0" fontId="7" fillId="0" borderId="0" xfId="0" applyFont="1" applyFill="1" applyBorder="1" applyAlignment="1">
      <alignment horizontal="left"/>
    </xf>
    <xf numFmtId="0" fontId="25" fillId="0" borderId="6" xfId="0" applyFont="1" applyBorder="1" applyAlignment="1">
      <alignment horizontal="left"/>
    </xf>
    <xf numFmtId="0" fontId="28" fillId="0" borderId="0" xfId="0" applyFont="1" applyFill="1"/>
    <xf numFmtId="0" fontId="28" fillId="0" borderId="3" xfId="0" applyFont="1" applyFill="1" applyBorder="1" applyAlignment="1" applyProtection="1">
      <alignment vertical="center"/>
      <protection hidden="1"/>
    </xf>
    <xf numFmtId="0" fontId="28" fillId="0" borderId="0" xfId="0" applyFont="1" applyFill="1" applyAlignment="1">
      <alignment vertical="center"/>
    </xf>
    <xf numFmtId="0" fontId="29" fillId="0" borderId="0" xfId="0" applyFont="1" applyFill="1" applyAlignment="1">
      <alignment vertical="center"/>
    </xf>
    <xf numFmtId="0" fontId="29" fillId="0" borderId="0" xfId="0" applyFont="1" applyFill="1" applyAlignment="1">
      <alignment horizontal="center" vertical="center"/>
    </xf>
    <xf numFmtId="4" fontId="28" fillId="0" borderId="0" xfId="0" applyNumberFormat="1" applyFont="1" applyFill="1" applyAlignment="1">
      <alignment vertical="center"/>
    </xf>
    <xf numFmtId="4" fontId="28" fillId="0" borderId="0" xfId="0" applyNumberFormat="1" applyFont="1" applyFill="1" applyAlignment="1">
      <alignment horizontal="center" vertical="center"/>
    </xf>
    <xf numFmtId="2" fontId="28" fillId="0" borderId="0" xfId="0" applyNumberFormat="1" applyFont="1" applyFill="1" applyAlignment="1">
      <alignment horizontal="center" vertical="center"/>
    </xf>
    <xf numFmtId="0" fontId="28" fillId="0" borderId="0" xfId="0" applyFont="1" applyFill="1" applyAlignment="1">
      <alignment horizontal="center"/>
    </xf>
    <xf numFmtId="0" fontId="28" fillId="0" borderId="0" xfId="0" applyFont="1" applyFill="1" applyAlignment="1">
      <alignment horizontal="center" vertical="center"/>
    </xf>
    <xf numFmtId="0" fontId="8" fillId="0" borderId="0" xfId="0" applyFont="1" applyFill="1"/>
    <xf numFmtId="0" fontId="29" fillId="0" borderId="0" xfId="0" applyFont="1" applyFill="1" applyAlignment="1">
      <alignment horizontal="right" vertical="center" indent="1"/>
    </xf>
    <xf numFmtId="17" fontId="8"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right" vertical="top" indent="1"/>
      <protection hidden="1"/>
    </xf>
    <xf numFmtId="0" fontId="8" fillId="0" borderId="0" xfId="0" applyFont="1" applyFill="1" applyBorder="1" applyAlignment="1" applyProtection="1">
      <alignment horizontal="right" indent="1"/>
      <protection hidden="1"/>
    </xf>
    <xf numFmtId="0" fontId="9" fillId="0" borderId="0" xfId="0" applyFont="1" applyAlignment="1" applyProtection="1">
      <alignment vertical="center"/>
    </xf>
    <xf numFmtId="0" fontId="16" fillId="0" borderId="3" xfId="0" applyFont="1" applyBorder="1" applyAlignment="1" applyProtection="1">
      <alignment vertical="center"/>
    </xf>
    <xf numFmtId="0" fontId="9" fillId="0" borderId="3" xfId="0" applyFont="1" applyBorder="1" applyAlignment="1" applyProtection="1">
      <alignment vertical="center"/>
    </xf>
    <xf numFmtId="0" fontId="19" fillId="0" borderId="0" xfId="0" applyFont="1" applyAlignment="1" applyProtection="1">
      <alignment vertical="center"/>
    </xf>
    <xf numFmtId="0" fontId="9" fillId="4" borderId="0" xfId="0" applyFont="1" applyFill="1" applyAlignment="1" applyProtection="1">
      <alignment vertical="center"/>
    </xf>
    <xf numFmtId="0" fontId="20" fillId="4" borderId="0" xfId="0" applyFont="1" applyFill="1" applyAlignment="1" applyProtection="1">
      <alignment vertical="center"/>
    </xf>
    <xf numFmtId="0" fontId="8" fillId="7" borderId="1" xfId="0" applyFont="1" applyFill="1" applyBorder="1" applyAlignment="1" applyProtection="1">
      <alignment horizontal="center" vertical="center" wrapText="1"/>
    </xf>
    <xf numFmtId="165" fontId="30" fillId="0" borderId="1" xfId="1" applyNumberFormat="1" applyFont="1" applyFill="1" applyBorder="1" applyAlignment="1" applyProtection="1">
      <alignment horizontal="center" vertical="center" wrapText="1"/>
    </xf>
    <xf numFmtId="4" fontId="30" fillId="0" borderId="1" xfId="1" applyNumberFormat="1" applyFont="1" applyFill="1" applyBorder="1" applyAlignment="1" applyProtection="1">
      <alignment horizontal="center" vertical="center" wrapText="1"/>
    </xf>
    <xf numFmtId="0" fontId="23" fillId="0" borderId="0" xfId="0" applyFont="1" applyProtection="1"/>
    <xf numFmtId="0" fontId="0" fillId="0" borderId="0" xfId="0" applyProtection="1"/>
    <xf numFmtId="9" fontId="9" fillId="4" borderId="0" xfId="0" applyNumberFormat="1" applyFont="1" applyFill="1" applyAlignment="1" applyProtection="1">
      <alignment vertical="center"/>
    </xf>
    <xf numFmtId="0" fontId="9" fillId="3" borderId="0" xfId="0" applyFont="1" applyFill="1" applyBorder="1" applyAlignment="1" applyProtection="1">
      <alignment vertical="center"/>
    </xf>
    <xf numFmtId="166" fontId="9" fillId="4" borderId="0" xfId="1" applyNumberFormat="1" applyFont="1" applyFill="1" applyAlignment="1" applyProtection="1">
      <alignment vertical="center"/>
    </xf>
    <xf numFmtId="9" fontId="9" fillId="4" borderId="0" xfId="1" applyFont="1" applyFill="1" applyAlignment="1" applyProtection="1">
      <alignment vertical="center"/>
    </xf>
    <xf numFmtId="0" fontId="8" fillId="8" borderId="1" xfId="0" applyFont="1" applyFill="1" applyBorder="1" applyAlignment="1" applyProtection="1">
      <alignment horizontal="center" vertical="center"/>
      <protection locked="0"/>
    </xf>
    <xf numFmtId="3" fontId="8" fillId="8" borderId="1" xfId="0" applyNumberFormat="1" applyFont="1" applyFill="1" applyBorder="1" applyAlignment="1" applyProtection="1">
      <alignment horizontal="center" vertical="center"/>
      <protection locked="0"/>
    </xf>
    <xf numFmtId="0" fontId="9" fillId="0" borderId="0" xfId="0" applyFont="1" applyAlignment="1" applyProtection="1">
      <alignment horizontal="left" vertical="center"/>
      <protection hidden="1"/>
    </xf>
    <xf numFmtId="0" fontId="4" fillId="0" borderId="0" xfId="180" applyFont="1" applyFill="1" applyBorder="1"/>
    <xf numFmtId="0" fontId="40" fillId="0" borderId="0" xfId="0" applyFont="1" applyFill="1" applyBorder="1"/>
    <xf numFmtId="4" fontId="4" fillId="82" borderId="0" xfId="0" applyNumberFormat="1" applyFont="1" applyFill="1" applyBorder="1" applyAlignment="1">
      <alignment horizontal="center"/>
    </xf>
    <xf numFmtId="4" fontId="40" fillId="0" borderId="0" xfId="0" applyNumberFormat="1" applyFont="1" applyFill="1" applyBorder="1" applyAlignment="1">
      <alignment horizontal="left"/>
    </xf>
    <xf numFmtId="4" fontId="40" fillId="0" borderId="0" xfId="0" applyNumberFormat="1" applyFont="1" applyFill="1" applyBorder="1" applyAlignment="1">
      <alignment horizontal="center"/>
    </xf>
    <xf numFmtId="4" fontId="6" fillId="82" borderId="0" xfId="0" applyNumberFormat="1" applyFont="1" applyFill="1" applyBorder="1" applyAlignment="1">
      <alignment horizontal="center" vertical="center"/>
    </xf>
    <xf numFmtId="0" fontId="4" fillId="82" borderId="0" xfId="0" applyFont="1" applyFill="1" applyBorder="1"/>
    <xf numFmtId="0" fontId="8" fillId="0" borderId="0" xfId="0" applyFont="1" applyFill="1" applyBorder="1" applyAlignment="1">
      <alignment horizontal="left"/>
    </xf>
    <xf numFmtId="0" fontId="21" fillId="7" borderId="4" xfId="0" applyFont="1" applyFill="1" applyBorder="1" applyAlignment="1" applyProtection="1">
      <alignment vertical="center"/>
    </xf>
    <xf numFmtId="0" fontId="70" fillId="0" borderId="0" xfId="3" applyFont="1" applyFill="1" applyBorder="1" applyAlignment="1" applyProtection="1">
      <alignment horizontal="left"/>
      <protection hidden="1"/>
    </xf>
    <xf numFmtId="4" fontId="25" fillId="83" borderId="1" xfId="0" applyNumberFormat="1" applyFont="1" applyFill="1" applyBorder="1" applyAlignment="1">
      <alignment horizontal="center" vertical="center"/>
    </xf>
    <xf numFmtId="0" fontId="72" fillId="0" borderId="0" xfId="0" applyFont="1" applyAlignment="1" applyProtection="1">
      <alignment horizontal="left" vertical="center" indent="1"/>
      <protection hidden="1"/>
    </xf>
    <xf numFmtId="0" fontId="30" fillId="0" borderId="0" xfId="0" applyFont="1" applyAlignment="1" applyProtection="1">
      <alignment vertical="center"/>
      <protection hidden="1"/>
    </xf>
    <xf numFmtId="0" fontId="30" fillId="0" borderId="3" xfId="0" applyFont="1" applyBorder="1" applyAlignment="1" applyProtection="1">
      <alignment vertical="center"/>
      <protection hidden="1"/>
    </xf>
    <xf numFmtId="0" fontId="30" fillId="0" borderId="0" xfId="0" applyFont="1" applyAlignment="1" applyProtection="1">
      <alignment horizontal="left" vertical="center" indent="1"/>
      <protection hidden="1"/>
    </xf>
    <xf numFmtId="0" fontId="24" fillId="83" borderId="1" xfId="0" applyFont="1" applyFill="1" applyBorder="1" applyAlignment="1">
      <alignment horizontal="center" vertical="center"/>
    </xf>
    <xf numFmtId="0" fontId="34" fillId="0" borderId="1" xfId="0" applyFont="1" applyFill="1" applyBorder="1" applyAlignment="1" applyProtection="1">
      <alignment horizontal="center" vertical="center" wrapText="1"/>
    </xf>
    <xf numFmtId="0" fontId="30" fillId="4" borderId="1" xfId="0" applyFont="1" applyFill="1" applyBorder="1" applyAlignment="1" applyProtection="1">
      <alignment vertical="center"/>
    </xf>
    <xf numFmtId="176" fontId="25" fillId="0" borderId="0" xfId="0" applyNumberFormat="1" applyFont="1"/>
    <xf numFmtId="177" fontId="30" fillId="0" borderId="1" xfId="1"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hidden="1"/>
    </xf>
    <xf numFmtId="10" fontId="30" fillId="4" borderId="1" xfId="1" applyNumberFormat="1" applyFont="1" applyFill="1" applyBorder="1" applyAlignment="1" applyProtection="1">
      <alignment horizontal="center" vertical="center"/>
    </xf>
    <xf numFmtId="0" fontId="9" fillId="4" borderId="0" xfId="0" applyFont="1" applyFill="1" applyAlignment="1" applyProtection="1">
      <alignment vertical="top" wrapText="1"/>
    </xf>
    <xf numFmtId="0" fontId="73" fillId="0" borderId="0" xfId="0" applyFont="1" applyFill="1" applyBorder="1" applyAlignment="1" applyProtection="1">
      <alignment vertical="center"/>
      <protection hidden="1"/>
    </xf>
    <xf numFmtId="0" fontId="74" fillId="0" borderId="0" xfId="0" applyFont="1" applyFill="1" applyBorder="1" applyAlignment="1" applyProtection="1">
      <alignment vertical="center"/>
      <protection hidden="1"/>
    </xf>
    <xf numFmtId="0" fontId="25" fillId="0" borderId="0" xfId="0" applyFont="1" applyFill="1" applyBorder="1" applyAlignment="1" applyProtection="1">
      <alignment horizontal="left" vertical="center" indent="1"/>
      <protection hidden="1"/>
    </xf>
    <xf numFmtId="0" fontId="33" fillId="0" borderId="0" xfId="3" applyFont="1" applyFill="1" applyBorder="1" applyAlignment="1" applyProtection="1">
      <alignment horizontal="center" vertical="center"/>
      <protection hidden="1"/>
    </xf>
    <xf numFmtId="0" fontId="77" fillId="0" borderId="3" xfId="0" applyFont="1" applyBorder="1" applyAlignment="1" applyProtection="1">
      <alignment vertical="center"/>
      <protection hidden="1"/>
    </xf>
    <xf numFmtId="0" fontId="78" fillId="4" borderId="0" xfId="3" applyFont="1" applyFill="1" applyAlignment="1" applyProtection="1">
      <alignment vertical="center"/>
    </xf>
    <xf numFmtId="0" fontId="24" fillId="0" borderId="0" xfId="0" applyFont="1" applyBorder="1" applyAlignment="1">
      <alignment horizontal="left" vertical="center"/>
    </xf>
    <xf numFmtId="0" fontId="24" fillId="84" borderId="0" xfId="0" applyFont="1" applyFill="1" applyBorder="1" applyAlignment="1">
      <alignment horizontal="center" vertical="center"/>
    </xf>
    <xf numFmtId="0" fontId="24" fillId="0" borderId="0" xfId="0" applyFont="1" applyBorder="1" applyAlignment="1">
      <alignment horizontal="center" vertical="center"/>
    </xf>
    <xf numFmtId="4" fontId="4" fillId="0" borderId="0" xfId="0" applyNumberFormat="1" applyFont="1" applyBorder="1" applyAlignment="1">
      <alignment horizontal="center"/>
    </xf>
    <xf numFmtId="0" fontId="0" fillId="0" borderId="0" xfId="0" applyFont="1" applyAlignment="1">
      <alignment horizontal="left"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3" fillId="6" borderId="24" xfId="0" applyFont="1" applyFill="1" applyBorder="1" applyAlignment="1">
      <alignment horizontal="left" vertical="center"/>
    </xf>
    <xf numFmtId="178" fontId="23" fillId="6" borderId="25" xfId="4" applyNumberFormat="1" applyFont="1" applyFill="1" applyBorder="1" applyAlignment="1">
      <alignment horizontal="center" vertical="center"/>
    </xf>
    <xf numFmtId="178" fontId="23" fillId="6" borderId="26" xfId="4" applyNumberFormat="1" applyFont="1" applyFill="1" applyBorder="1" applyAlignment="1">
      <alignment horizontal="center" vertical="center"/>
    </xf>
    <xf numFmtId="0" fontId="23" fillId="0" borderId="27" xfId="0" applyFont="1" applyBorder="1" applyAlignment="1">
      <alignment horizontal="left" vertical="center"/>
    </xf>
    <xf numFmtId="179" fontId="23" fillId="0" borderId="28" xfId="4" applyNumberFormat="1" applyFont="1" applyBorder="1" applyAlignment="1">
      <alignment horizontal="center" vertical="center"/>
    </xf>
    <xf numFmtId="179" fontId="23" fillId="0" borderId="29" xfId="4" applyNumberFormat="1" applyFont="1" applyBorder="1" applyAlignment="1">
      <alignment horizontal="center" vertical="center"/>
    </xf>
    <xf numFmtId="179" fontId="23" fillId="0" borderId="30" xfId="4" applyNumberFormat="1" applyFont="1" applyBorder="1" applyAlignment="1">
      <alignment horizontal="center" vertical="center"/>
    </xf>
    <xf numFmtId="0" fontId="23" fillId="0" borderId="31" xfId="0" applyFont="1" applyBorder="1" applyAlignment="1">
      <alignment horizontal="left" vertical="center" wrapText="1"/>
    </xf>
    <xf numFmtId="179" fontId="23" fillId="0" borderId="32" xfId="4" applyNumberFormat="1" applyFont="1" applyBorder="1" applyAlignment="1">
      <alignment horizontal="center" vertical="center"/>
    </xf>
    <xf numFmtId="179" fontId="23" fillId="0" borderId="34" xfId="4" applyNumberFormat="1" applyFont="1" applyBorder="1" applyAlignment="1">
      <alignment horizontal="center" vertical="center"/>
    </xf>
    <xf numFmtId="179" fontId="23" fillId="0" borderId="33" xfId="4" applyNumberFormat="1" applyFont="1" applyBorder="1" applyAlignment="1">
      <alignment horizontal="center" vertical="center"/>
    </xf>
    <xf numFmtId="0" fontId="23" fillId="0" borderId="35" xfId="0" applyFont="1" applyBorder="1" applyAlignment="1">
      <alignment horizontal="left" vertical="center" wrapText="1"/>
    </xf>
    <xf numFmtId="0" fontId="23" fillId="86" borderId="24" xfId="0" applyFont="1" applyFill="1" applyBorder="1" applyAlignment="1">
      <alignment horizontal="left" vertical="center"/>
    </xf>
    <xf numFmtId="179" fontId="23" fillId="86" borderId="25" xfId="4" applyNumberFormat="1" applyFont="1" applyFill="1" applyBorder="1"/>
    <xf numFmtId="179" fontId="23" fillId="86" borderId="26" xfId="4" applyNumberFormat="1" applyFont="1" applyFill="1" applyBorder="1"/>
    <xf numFmtId="179" fontId="23" fillId="86" borderId="36" xfId="4" applyNumberFormat="1" applyFont="1" applyFill="1" applyBorder="1"/>
    <xf numFmtId="0" fontId="23" fillId="86" borderId="31" xfId="0" applyFont="1" applyFill="1" applyBorder="1" applyAlignment="1">
      <alignment horizontal="left" vertical="center" wrapText="1"/>
    </xf>
    <xf numFmtId="179" fontId="23" fillId="86" borderId="32" xfId="4" applyNumberFormat="1" applyFont="1" applyFill="1" applyBorder="1"/>
    <xf numFmtId="0" fontId="0" fillId="0" borderId="0" xfId="0" applyFill="1"/>
    <xf numFmtId="0" fontId="24" fillId="0" borderId="0" xfId="0" applyFont="1" applyFill="1" applyBorder="1" applyAlignment="1">
      <alignment horizontal="center" vertical="center"/>
    </xf>
    <xf numFmtId="182" fontId="23" fillId="0" borderId="32" xfId="4" applyNumberFormat="1" applyFont="1" applyBorder="1" applyAlignment="1">
      <alignment horizontal="center" vertical="center"/>
    </xf>
    <xf numFmtId="2" fontId="0" fillId="0" borderId="0" xfId="0" applyNumberFormat="1" applyAlignment="1">
      <alignment horizontal="center"/>
    </xf>
    <xf numFmtId="181" fontId="0" fillId="0" borderId="0" xfId="1" applyNumberFormat="1" applyFont="1"/>
    <xf numFmtId="0" fontId="0" fillId="0" borderId="0" xfId="0" applyAlignment="1">
      <alignment horizontal="right"/>
    </xf>
    <xf numFmtId="180" fontId="37" fillId="0" borderId="0" xfId="7" applyNumberFormat="1" applyFont="1" applyFill="1"/>
    <xf numFmtId="176" fontId="0" fillId="0" borderId="0" xfId="0" applyNumberFormat="1"/>
    <xf numFmtId="181" fontId="4" fillId="0" borderId="0" xfId="1" applyNumberFormat="1" applyFont="1" applyFill="1" applyBorder="1" applyAlignment="1">
      <alignment horizontal="center"/>
    </xf>
    <xf numFmtId="165" fontId="9" fillId="0" borderId="0" xfId="1" applyNumberFormat="1" applyFont="1" applyAlignment="1" applyProtection="1">
      <alignment vertical="center"/>
      <protection hidden="1"/>
    </xf>
    <xf numFmtId="4" fontId="8" fillId="8" borderId="1" xfId="0" applyNumberFormat="1" applyFont="1" applyFill="1" applyBorder="1" applyAlignment="1" applyProtection="1">
      <alignment horizontal="center" vertical="center"/>
      <protection locked="0"/>
    </xf>
    <xf numFmtId="183" fontId="87" fillId="5" borderId="0" xfId="0" applyNumberFormat="1" applyFont="1" applyFill="1"/>
    <xf numFmtId="183" fontId="23" fillId="5" borderId="0" xfId="0" applyNumberFormat="1" applyFont="1" applyFill="1"/>
    <xf numFmtId="183" fontId="80" fillId="5" borderId="0" xfId="0" applyNumberFormat="1" applyFont="1" applyFill="1"/>
    <xf numFmtId="1" fontId="87" fillId="5" borderId="0" xfId="0" applyNumberFormat="1" applyFont="1" applyFill="1" applyAlignment="1">
      <alignment vertical="center"/>
    </xf>
    <xf numFmtId="183" fontId="0" fillId="4" borderId="0" xfId="0" applyNumberFormat="1" applyFill="1"/>
    <xf numFmtId="183" fontId="88" fillId="4" borderId="0" xfId="0" applyNumberFormat="1" applyFont="1" applyFill="1"/>
    <xf numFmtId="183" fontId="2" fillId="4" borderId="0" xfId="0" applyNumberFormat="1" applyFont="1" applyFill="1"/>
    <xf numFmtId="10" fontId="0" fillId="0" borderId="0" xfId="1" applyNumberFormat="1" applyFont="1"/>
    <xf numFmtId="183" fontId="0" fillId="4" borderId="0" xfId="0" applyNumberFormat="1" applyFill="1" applyAlignment="1">
      <alignment wrapText="1"/>
    </xf>
    <xf numFmtId="183" fontId="0" fillId="0" borderId="0" xfId="0" applyNumberFormat="1"/>
    <xf numFmtId="0" fontId="89" fillId="0" borderId="0" xfId="0" applyFont="1"/>
    <xf numFmtId="184" fontId="89" fillId="0" borderId="0" xfId="0" applyNumberFormat="1" applyFont="1"/>
    <xf numFmtId="183" fontId="86" fillId="5" borderId="0" xfId="0" applyNumberFormat="1" applyFont="1" applyFill="1"/>
    <xf numFmtId="0" fontId="0" fillId="4" borderId="0" xfId="0" applyFill="1"/>
    <xf numFmtId="2" fontId="0" fillId="0" borderId="0" xfId="0" applyNumberFormat="1"/>
    <xf numFmtId="183" fontId="89" fillId="4" borderId="0" xfId="0" applyNumberFormat="1" applyFont="1" applyFill="1"/>
    <xf numFmtId="183" fontId="89" fillId="0" borderId="0" xfId="0" applyNumberFormat="1" applyFont="1"/>
    <xf numFmtId="183" fontId="91" fillId="4" borderId="0" xfId="0" applyNumberFormat="1" applyFont="1" applyFill="1"/>
    <xf numFmtId="183" fontId="87" fillId="86" borderId="0" xfId="0" applyNumberFormat="1" applyFont="1" applyFill="1"/>
    <xf numFmtId="183" fontId="80" fillId="86" borderId="0" xfId="0" applyNumberFormat="1" applyFont="1" applyFill="1"/>
    <xf numFmtId="0" fontId="0" fillId="86" borderId="0" xfId="0" applyFill="1"/>
    <xf numFmtId="0" fontId="92" fillId="86" borderId="0" xfId="0" applyFont="1" applyFill="1" applyAlignment="1">
      <alignment horizontal="right"/>
    </xf>
    <xf numFmtId="183" fontId="87" fillId="88" borderId="0" xfId="0" applyNumberFormat="1" applyFont="1" applyFill="1"/>
    <xf numFmtId="183" fontId="80" fillId="88" borderId="0" xfId="0" applyNumberFormat="1" applyFont="1" applyFill="1"/>
    <xf numFmtId="183" fontId="80" fillId="88" borderId="0" xfId="0" applyNumberFormat="1" applyFont="1" applyFill="1" applyAlignment="1">
      <alignment horizontal="center" wrapText="1"/>
    </xf>
    <xf numFmtId="0" fontId="0" fillId="88" borderId="0" xfId="0" applyFill="1"/>
    <xf numFmtId="0" fontId="92" fillId="88" borderId="0" xfId="0" applyFont="1" applyFill="1" applyAlignment="1">
      <alignment horizontal="right"/>
    </xf>
    <xf numFmtId="9" fontId="2" fillId="4" borderId="0" xfId="1" applyNumberFormat="1" applyFont="1" applyFill="1"/>
    <xf numFmtId="166" fontId="0" fillId="0" borderId="0" xfId="1" applyNumberFormat="1" applyFont="1"/>
    <xf numFmtId="9" fontId="0" fillId="0" borderId="0" xfId="1" applyFont="1"/>
    <xf numFmtId="0" fontId="92" fillId="89" borderId="0" xfId="0" applyFont="1" applyFill="1"/>
    <xf numFmtId="0" fontId="93" fillId="89" borderId="0" xfId="0" applyFont="1" applyFill="1"/>
    <xf numFmtId="0" fontId="92" fillId="89" borderId="0" xfId="0" applyFont="1" applyFill="1" applyBorder="1" applyAlignment="1">
      <alignment horizontal="center" vertical="center"/>
    </xf>
    <xf numFmtId="0" fontId="0" fillId="0" borderId="0" xfId="0" applyFont="1"/>
    <xf numFmtId="183" fontId="4" fillId="0" borderId="0" xfId="180" applyNumberFormat="1" applyFont="1" applyFill="1" applyBorder="1"/>
    <xf numFmtId="0" fontId="0" fillId="90" borderId="0" xfId="0" applyFill="1"/>
    <xf numFmtId="4" fontId="4" fillId="90" borderId="0" xfId="0" applyNumberFormat="1" applyFont="1" applyFill="1" applyBorder="1" applyAlignment="1">
      <alignment horizontal="center"/>
    </xf>
    <xf numFmtId="4" fontId="94" fillId="0" borderId="0" xfId="0" applyNumberFormat="1" applyFont="1" applyBorder="1" applyAlignment="1">
      <alignment horizontal="center"/>
    </xf>
    <xf numFmtId="3" fontId="94" fillId="0" borderId="0" xfId="0" applyNumberFormat="1" applyFont="1" applyBorder="1" applyAlignment="1">
      <alignment horizontal="center"/>
    </xf>
    <xf numFmtId="9" fontId="4" fillId="0" borderId="0" xfId="1" applyFont="1" applyBorder="1" applyAlignment="1">
      <alignment horizontal="center"/>
    </xf>
    <xf numFmtId="185" fontId="4" fillId="0" borderId="0" xfId="0" applyNumberFormat="1" applyFont="1" applyBorder="1" applyAlignment="1">
      <alignment horizontal="center"/>
    </xf>
    <xf numFmtId="9" fontId="0" fillId="0" borderId="0" xfId="0" applyNumberFormat="1"/>
    <xf numFmtId="9" fontId="4" fillId="0" borderId="0" xfId="1" applyNumberFormat="1" applyFont="1" applyBorder="1" applyAlignment="1">
      <alignment horizontal="center"/>
    </xf>
    <xf numFmtId="183" fontId="95" fillId="0" borderId="0" xfId="180" applyNumberFormat="1" applyFont="1" applyFill="1" applyBorder="1"/>
    <xf numFmtId="4" fontId="95" fillId="0" borderId="0" xfId="0" applyNumberFormat="1" applyFont="1" applyBorder="1" applyAlignment="1">
      <alignment horizontal="center"/>
    </xf>
    <xf numFmtId="9" fontId="95" fillId="0" borderId="0" xfId="1" applyFont="1" applyBorder="1" applyAlignment="1">
      <alignment horizontal="center"/>
    </xf>
    <xf numFmtId="0" fontId="92" fillId="89" borderId="0" xfId="0" applyFont="1" applyFill="1" applyBorder="1" applyAlignment="1">
      <alignment horizontal="left" vertical="center"/>
    </xf>
    <xf numFmtId="183" fontId="85" fillId="0" borderId="0" xfId="0" applyNumberFormat="1" applyFont="1"/>
    <xf numFmtId="0" fontId="88" fillId="0" borderId="0" xfId="0" applyFont="1"/>
    <xf numFmtId="3" fontId="4" fillId="0" borderId="0" xfId="0" applyNumberFormat="1" applyFont="1" applyFill="1" applyBorder="1" applyAlignment="1">
      <alignment horizontal="center"/>
    </xf>
    <xf numFmtId="0" fontId="39" fillId="0" borderId="0" xfId="205"/>
    <xf numFmtId="183" fontId="0" fillId="4" borderId="0" xfId="0" applyNumberFormat="1" applyFont="1" applyFill="1"/>
    <xf numFmtId="4" fontId="8" fillId="8" borderId="29" xfId="0" applyNumberFormat="1" applyFont="1" applyFill="1" applyBorder="1" applyAlignment="1" applyProtection="1">
      <alignment horizontal="center" vertical="center"/>
      <protection locked="0"/>
    </xf>
    <xf numFmtId="0" fontId="16"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17" fillId="0" borderId="0" xfId="0" applyFont="1" applyBorder="1" applyAlignment="1" applyProtection="1">
      <alignment horizontal="right" vertical="center"/>
      <protection hidden="1"/>
    </xf>
    <xf numFmtId="0" fontId="96" fillId="0" borderId="0" xfId="0" applyFont="1" applyBorder="1" applyAlignment="1" applyProtection="1">
      <alignment vertical="center"/>
      <protection hidden="1"/>
    </xf>
    <xf numFmtId="4" fontId="0" fillId="0" borderId="0" xfId="0" applyNumberFormat="1"/>
    <xf numFmtId="0" fontId="22"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9" fillId="0" borderId="0" xfId="0" applyFont="1" applyAlignment="1" applyProtection="1">
      <alignment horizontal="center" vertical="center"/>
    </xf>
    <xf numFmtId="3" fontId="8" fillId="8" borderId="1" xfId="0" applyNumberFormat="1" applyFont="1" applyFill="1" applyBorder="1" applyAlignment="1" applyProtection="1">
      <alignment horizontal="center" vertical="center"/>
    </xf>
    <xf numFmtId="4" fontId="9" fillId="4" borderId="0" xfId="0" applyNumberFormat="1" applyFont="1" applyFill="1" applyAlignment="1" applyProtection="1">
      <alignment vertical="center"/>
    </xf>
    <xf numFmtId="0" fontId="38" fillId="0" borderId="0" xfId="181" applyBorder="1" applyProtection="1"/>
    <xf numFmtId="0" fontId="38" fillId="0" borderId="20" xfId="181" applyBorder="1" applyAlignment="1" applyProtection="1">
      <alignment vertical="top" wrapText="1"/>
    </xf>
    <xf numFmtId="0" fontId="38" fillId="0" borderId="0" xfId="181" applyBorder="1" applyAlignment="1" applyProtection="1">
      <alignment vertical="top" wrapText="1"/>
    </xf>
    <xf numFmtId="0" fontId="97" fillId="0" borderId="0" xfId="181" applyFont="1" applyBorder="1" applyAlignment="1" applyProtection="1">
      <alignment vertical="top" wrapText="1"/>
    </xf>
    <xf numFmtId="0" fontId="38" fillId="0" borderId="0" xfId="181" quotePrefix="1" applyBorder="1" applyProtection="1"/>
    <xf numFmtId="0" fontId="9" fillId="4" borderId="0" xfId="0" applyFont="1" applyFill="1" applyBorder="1" applyAlignment="1" applyProtection="1">
      <alignment vertical="center"/>
      <protection hidden="1"/>
    </xf>
    <xf numFmtId="0" fontId="9" fillId="4" borderId="0" xfId="0" applyFont="1" applyFill="1" applyAlignment="1" applyProtection="1">
      <alignment vertical="center"/>
      <protection hidden="1"/>
    </xf>
    <xf numFmtId="0" fontId="11" fillId="4" borderId="0" xfId="0" applyFont="1" applyFill="1" applyBorder="1" applyAlignment="1" applyProtection="1">
      <alignment vertical="center"/>
      <protection hidden="1"/>
    </xf>
    <xf numFmtId="0" fontId="12" fillId="4" borderId="0" xfId="0"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17" fontId="8"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horizontal="right" indent="1"/>
      <protection hidden="1"/>
    </xf>
    <xf numFmtId="0" fontId="70" fillId="4" borderId="0" xfId="3" applyFont="1" applyFill="1" applyBorder="1" applyAlignment="1" applyProtection="1">
      <alignment horizontal="left"/>
      <protection hidden="1"/>
    </xf>
    <xf numFmtId="0" fontId="25" fillId="4" borderId="0" xfId="0" applyFont="1" applyFill="1" applyBorder="1" applyAlignment="1" applyProtection="1">
      <alignment horizontal="left" vertical="center" indent="1"/>
      <protection hidden="1"/>
    </xf>
    <xf numFmtId="0" fontId="33" fillId="4" borderId="0" xfId="3" applyFont="1" applyFill="1" applyBorder="1" applyAlignment="1" applyProtection="1">
      <alignment horizontal="center" vertical="center"/>
      <protection hidden="1"/>
    </xf>
    <xf numFmtId="0" fontId="8" fillId="4" borderId="0" xfId="0" applyFont="1" applyFill="1" applyBorder="1" applyAlignment="1" applyProtection="1">
      <alignment horizontal="right" vertical="top" indent="1"/>
      <protection hidden="1"/>
    </xf>
    <xf numFmtId="0" fontId="14" fillId="4" borderId="0" xfId="0" applyFont="1" applyFill="1" applyBorder="1" applyAlignment="1" applyProtection="1">
      <alignment vertical="center"/>
      <protection hidden="1"/>
    </xf>
    <xf numFmtId="0" fontId="38" fillId="4" borderId="0" xfId="181" applyFill="1" applyBorder="1" applyProtection="1"/>
    <xf numFmtId="0" fontId="77" fillId="4" borderId="3" xfId="0" applyFont="1" applyFill="1" applyBorder="1" applyAlignment="1" applyProtection="1">
      <alignment vertical="center"/>
      <protection hidden="1"/>
    </xf>
    <xf numFmtId="0" fontId="16" fillId="4" borderId="3" xfId="0" applyFont="1" applyFill="1" applyBorder="1" applyAlignment="1" applyProtection="1">
      <alignment vertical="center"/>
      <protection hidden="1"/>
    </xf>
    <xf numFmtId="180" fontId="0" fillId="0" borderId="0" xfId="0" applyNumberFormat="1"/>
    <xf numFmtId="185" fontId="24" fillId="6" borderId="1" xfId="0" applyNumberFormat="1" applyFont="1" applyFill="1" applyBorder="1" applyAlignment="1">
      <alignment horizontal="center" vertical="center"/>
    </xf>
    <xf numFmtId="185" fontId="25" fillId="0" borderId="1" xfId="0" applyNumberFormat="1" applyFont="1" applyBorder="1" applyAlignment="1">
      <alignment horizontal="center" vertical="center"/>
    </xf>
    <xf numFmtId="2" fontId="25" fillId="0" borderId="0" xfId="0" applyNumberFormat="1" applyFont="1" applyAlignment="1">
      <alignment horizontal="center"/>
    </xf>
    <xf numFmtId="4" fontId="25" fillId="0" borderId="0" xfId="0" applyNumberFormat="1" applyFont="1" applyAlignment="1">
      <alignment horizontal="center"/>
    </xf>
    <xf numFmtId="0" fontId="100" fillId="0" borderId="0" xfId="0" applyFont="1" applyFill="1" applyBorder="1" applyAlignment="1" applyProtection="1">
      <alignment horizontal="left" vertical="center"/>
      <protection hidden="1"/>
    </xf>
    <xf numFmtId="0" fontId="100" fillId="4" borderId="0" xfId="0" applyFont="1" applyFill="1" applyBorder="1" applyAlignment="1" applyProtection="1">
      <alignment horizontal="left" vertical="center"/>
      <protection hidden="1"/>
    </xf>
    <xf numFmtId="0" fontId="15" fillId="4" borderId="0" xfId="0" applyFont="1" applyFill="1" applyAlignment="1" applyProtection="1">
      <alignment vertical="top" wrapText="1"/>
    </xf>
    <xf numFmtId="0" fontId="0" fillId="4" borderId="0" xfId="0" applyFill="1" applyProtection="1"/>
    <xf numFmtId="0" fontId="79" fillId="85" borderId="0" xfId="0" applyFont="1" applyFill="1" applyAlignment="1">
      <alignment horizontal="center" vertical="center"/>
    </xf>
    <xf numFmtId="0" fontId="71" fillId="4" borderId="0" xfId="0" applyFont="1" applyFill="1" applyBorder="1" applyAlignment="1" applyProtection="1">
      <alignment horizontal="left" vertical="center"/>
      <protection hidden="1"/>
    </xf>
    <xf numFmtId="0" fontId="29" fillId="0" borderId="1" xfId="0" applyFont="1" applyBorder="1" applyAlignment="1">
      <alignment horizontal="left"/>
    </xf>
    <xf numFmtId="0" fontId="27" fillId="6" borderId="1" xfId="0" applyFont="1" applyFill="1" applyBorder="1" applyAlignment="1">
      <alignment horizontal="center" vertical="center"/>
    </xf>
    <xf numFmtId="0" fontId="27" fillId="6" borderId="38" xfId="0" applyFont="1" applyFill="1" applyBorder="1" applyAlignment="1">
      <alignment horizontal="center" vertical="center"/>
    </xf>
    <xf numFmtId="0" fontId="27" fillId="6" borderId="37" xfId="0" applyFont="1" applyFill="1" applyBorder="1" applyAlignment="1">
      <alignment horizontal="center" vertical="center"/>
    </xf>
    <xf numFmtId="0" fontId="27" fillId="6" borderId="28" xfId="0" applyFont="1" applyFill="1" applyBorder="1" applyAlignment="1">
      <alignment horizontal="center" vertical="center"/>
    </xf>
    <xf numFmtId="0" fontId="10" fillId="0" borderId="20" xfId="0" applyFont="1" applyBorder="1" applyAlignment="1" applyProtection="1">
      <alignment horizontal="left" vertical="center"/>
      <protection hidden="1"/>
    </xf>
    <xf numFmtId="0" fontId="76" fillId="0" borderId="0" xfId="181" applyFont="1" applyBorder="1" applyAlignment="1" applyProtection="1">
      <alignment horizontal="left" vertical="top" wrapText="1"/>
    </xf>
    <xf numFmtId="0" fontId="15" fillId="4" borderId="0" xfId="0" applyFont="1" applyFill="1" applyAlignment="1" applyProtection="1">
      <alignment horizontal="left" vertical="top" wrapText="1"/>
    </xf>
    <xf numFmtId="0" fontId="15" fillId="0" borderId="0" xfId="181" applyFont="1" applyBorder="1" applyAlignment="1" applyProtection="1">
      <alignment horizontal="left" vertical="top" wrapText="1"/>
    </xf>
    <xf numFmtId="0" fontId="98" fillId="4" borderId="0" xfId="0" applyFont="1" applyFill="1" applyAlignment="1" applyProtection="1">
      <alignment horizontal="left" vertical="top" wrapText="1"/>
    </xf>
    <xf numFmtId="0" fontId="99" fillId="0" borderId="0" xfId="0" applyFont="1" applyFill="1" applyBorder="1" applyAlignment="1" applyProtection="1">
      <alignment horizontal="left" vertical="center"/>
      <protection hidden="1"/>
    </xf>
    <xf numFmtId="0" fontId="21" fillId="7" borderId="4" xfId="0" applyFont="1" applyFill="1" applyBorder="1" applyAlignment="1" applyProtection="1">
      <alignment horizontal="left" vertical="center" indent="1"/>
    </xf>
    <xf numFmtId="0" fontId="21" fillId="7" borderId="7" xfId="0" applyFont="1" applyFill="1" applyBorder="1" applyAlignment="1" applyProtection="1">
      <alignment horizontal="left" vertical="center" indent="1"/>
    </xf>
    <xf numFmtId="0" fontId="21" fillId="7" borderId="5" xfId="0" applyFont="1" applyFill="1" applyBorder="1" applyAlignment="1" applyProtection="1">
      <alignment horizontal="left" vertical="center" indent="1"/>
    </xf>
    <xf numFmtId="0" fontId="34" fillId="0" borderId="39" xfId="0" applyFont="1" applyFill="1" applyBorder="1" applyAlignment="1" applyProtection="1">
      <alignment horizontal="center" vertical="center" wrapText="1"/>
    </xf>
    <xf numFmtId="0" fontId="34" fillId="0" borderId="40"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xf>
  </cellXfs>
  <cellStyles count="206">
    <cellStyle name="20% - Accent10" xfId="104"/>
    <cellStyle name="20% - Accent11" xfId="105"/>
    <cellStyle name="20% - Accent12" xfId="106"/>
    <cellStyle name="20% - Accent7" xfId="101"/>
    <cellStyle name="20% - Accent8" xfId="102"/>
    <cellStyle name="20% - Accent9" xfId="103"/>
    <cellStyle name="20% - Énfasis1 2" xfId="16"/>
    <cellStyle name="20% - Énfasis2 2" xfId="6"/>
    <cellStyle name="20% - Énfasis3 2" xfId="20"/>
    <cellStyle name="20% - Énfasis4 2" xfId="18"/>
    <cellStyle name="20% - Énfasis5 2" xfId="8"/>
    <cellStyle name="20% - Énfasis6 2" xfId="22"/>
    <cellStyle name="40% - Accent10" xfId="98"/>
    <cellStyle name="40% - Accent11" xfId="99"/>
    <cellStyle name="40% - Accent12" xfId="100"/>
    <cellStyle name="40% - Accent7" xfId="95"/>
    <cellStyle name="40% - Accent8" xfId="96"/>
    <cellStyle name="40% - Accent9" xfId="97"/>
    <cellStyle name="40% - Énfasis1 2" xfId="15"/>
    <cellStyle name="40% - Énfasis2 2" xfId="21"/>
    <cellStyle name="40% - Énfasis3 2" xfId="19"/>
    <cellStyle name="40% - Énfasis4 2" xfId="23"/>
    <cellStyle name="40% - Énfasis5 2" xfId="24"/>
    <cellStyle name="40% - Énfasis6 2" xfId="25"/>
    <cellStyle name="60% - Accent10" xfId="92"/>
    <cellStyle name="60% - Accent11" xfId="93"/>
    <cellStyle name="60% - Accent12" xfId="94"/>
    <cellStyle name="60% - Accent7" xfId="89"/>
    <cellStyle name="60% - Accent8" xfId="90"/>
    <cellStyle name="60% - Accent9" xfId="91"/>
    <cellStyle name="60% - Énfasis1 2" xfId="26"/>
    <cellStyle name="60% - Énfasis2 2" xfId="27"/>
    <cellStyle name="60% - Énfasis3 2" xfId="28"/>
    <cellStyle name="60% - Énfasis4 2" xfId="29"/>
    <cellStyle name="60% - Énfasis5 2" xfId="30"/>
    <cellStyle name="60% - Énfasis6 2" xfId="31"/>
    <cellStyle name="Accent10" xfId="86"/>
    <cellStyle name="Accent11" xfId="87"/>
    <cellStyle name="Accent12" xfId="88"/>
    <cellStyle name="Accent7" xfId="83"/>
    <cellStyle name="Accent8" xfId="84"/>
    <cellStyle name="Accent9" xfId="85"/>
    <cellStyle name="Buena 2" xfId="69"/>
    <cellStyle name="Cálculo 2" xfId="109"/>
    <cellStyle name="Cálculo 3" xfId="39"/>
    <cellStyle name="Celda de comprobación 2" xfId="40"/>
    <cellStyle name="Celda vinculada 2" xfId="119"/>
    <cellStyle name="Celda vinculada 3" xfId="76"/>
    <cellStyle name="Comma 2" xfId="11"/>
    <cellStyle name="Comma 2 2" xfId="128"/>
    <cellStyle name="Comma 2 3" xfId="124"/>
    <cellStyle name="Comma 2_Hoja1" xfId="174"/>
    <cellStyle name="Comma 3" xfId="204"/>
    <cellStyle name="DividerBlue" xfId="150"/>
    <cellStyle name="DividerGreen" xfId="151"/>
    <cellStyle name="DividerGrey" xfId="152"/>
    <cellStyle name="DividerLilac" xfId="153"/>
    <cellStyle name="DividerPink" xfId="154"/>
    <cellStyle name="DividerYellow" xfId="155"/>
    <cellStyle name="E_Calculation0" xfId="41"/>
    <cellStyle name="E_Calculation1" xfId="42"/>
    <cellStyle name="E_Calculation2" xfId="43"/>
    <cellStyle name="E_Calculation3" xfId="44"/>
    <cellStyle name="E_Calculation4" xfId="45"/>
    <cellStyle name="E_CalculationSum" xfId="46"/>
    <cellStyle name="E_Check" xfId="47"/>
    <cellStyle name="E_Comment" xfId="48"/>
    <cellStyle name="E_Footer" xfId="49"/>
    <cellStyle name="E_Input1" xfId="50"/>
    <cellStyle name="E_Input2" xfId="51"/>
    <cellStyle name="E_InputFixed" xfId="52"/>
    <cellStyle name="E_InputList" xfId="53"/>
    <cellStyle name="E_InputWhite" xfId="54"/>
    <cellStyle name="E_InputWhite 2" xfId="116"/>
    <cellStyle name="E_RangeName" xfId="55"/>
    <cellStyle name="E_SecTitle1" xfId="56"/>
    <cellStyle name="E_SecTitle2" xfId="57"/>
    <cellStyle name="E_SecTitle3" xfId="58"/>
    <cellStyle name="E_Source" xfId="59"/>
    <cellStyle name="E_TableCell0" xfId="2"/>
    <cellStyle name="E_TableCell0 2" xfId="117"/>
    <cellStyle name="E_TableCell1" xfId="60"/>
    <cellStyle name="E_TableCell2" xfId="61"/>
    <cellStyle name="E_TableHeader0" xfId="62"/>
    <cellStyle name="E_TableHeader1" xfId="63"/>
    <cellStyle name="E_TableHeader2" xfId="64"/>
    <cellStyle name="E_VBACommunication" xfId="65"/>
    <cellStyle name="E_Warning" xfId="66"/>
    <cellStyle name="Encabezado 1 2" xfId="70"/>
    <cellStyle name="Encabezado 4 2" xfId="73"/>
    <cellStyle name="Énfasis1 2" xfId="32"/>
    <cellStyle name="Énfasis2 2" xfId="33"/>
    <cellStyle name="Énfasis3 2" xfId="34"/>
    <cellStyle name="Énfasis4 2" xfId="35"/>
    <cellStyle name="Énfasis5 2" xfId="36"/>
    <cellStyle name="Énfasis6 2" xfId="37"/>
    <cellStyle name="Entrada 2" xfId="118"/>
    <cellStyle name="Entrada 3" xfId="75"/>
    <cellStyle name="Followed Hyperlink 2" xfId="192"/>
    <cellStyle name="Followed Hyperlink 3" xfId="197"/>
    <cellStyle name="Followed Hyperlink 4" xfId="200"/>
    <cellStyle name="Good 2" xfId="194"/>
    <cellStyle name="Hipervínculo" xfId="3" builtinId="8"/>
    <cellStyle name="Hipervínculo 2" xfId="13"/>
    <cellStyle name="Hipervínculo 2 2" xfId="148"/>
    <cellStyle name="Hipervínculo 2_Hoja1" xfId="177"/>
    <cellStyle name="Hipervínculo 3" xfId="74"/>
    <cellStyle name="Hipervínculo 4" xfId="172"/>
    <cellStyle name="Hipervínculo 5" xfId="179"/>
    <cellStyle name="Hipervínculo 6" xfId="186"/>
    <cellStyle name="Hipervínculo 7" xfId="190"/>
    <cellStyle name="Hipervínculo 8" xfId="205"/>
    <cellStyle name="Hipervínculo visitado" xfId="68" builtinId="9" customBuiltin="1"/>
    <cellStyle name="Hipervínculo visitado 2" xfId="187"/>
    <cellStyle name="Hyperlink 2" xfId="129"/>
    <cellStyle name="Hyperlink 2 2" xfId="191"/>
    <cellStyle name="Hyperlink 3" xfId="130"/>
    <cellStyle name="Hyperlink 3 2" xfId="196"/>
    <cellStyle name="Hyperlink 4" xfId="131"/>
    <cellStyle name="Hyperlink 4 2" xfId="199"/>
    <cellStyle name="Hyperlink 5" xfId="132"/>
    <cellStyle name="Hyperlink 5 2" xfId="188"/>
    <cellStyle name="Hyperlink 6" xfId="133"/>
    <cellStyle name="Hyperlink 7" xfId="134"/>
    <cellStyle name="Hyperlink 7 2" xfId="135"/>
    <cellStyle name="Hyperlink 7 2 2" xfId="136"/>
    <cellStyle name="Hyperlink 8" xfId="137"/>
    <cellStyle name="Incorrecto 2" xfId="108"/>
    <cellStyle name="Incorrecto 3" xfId="38"/>
    <cellStyle name="Millares" xfId="4" builtinId="3" customBuiltin="1"/>
    <cellStyle name="Millares [0] 2" xfId="111"/>
    <cellStyle name="Millares 2" xfId="110"/>
    <cellStyle name="Millares 3" xfId="115"/>
    <cellStyle name="Millares 4" xfId="107"/>
    <cellStyle name="Millares 5" xfId="183"/>
    <cellStyle name="Millares 6" xfId="184"/>
    <cellStyle name="Moneda [0] 2" xfId="113"/>
    <cellStyle name="Moneda 2" xfId="112"/>
    <cellStyle name="Moneda 3" xfId="114"/>
    <cellStyle name="Moneda 4" xfId="121"/>
    <cellStyle name="Neutral 2" xfId="77"/>
    <cellStyle name="Normal" xfId="0" builtinId="0"/>
    <cellStyle name="Normal 10" xfId="170"/>
    <cellStyle name="Normal 10 2" xfId="180"/>
    <cellStyle name="Normal 11" xfId="125"/>
    <cellStyle name="Normal 12" xfId="17"/>
    <cellStyle name="Normal 13" xfId="181"/>
    <cellStyle name="Normal 14" xfId="182"/>
    <cellStyle name="Normal 15" xfId="185"/>
    <cellStyle name="Normal 2" xfId="14"/>
    <cellStyle name="Normal 2 2" xfId="138"/>
    <cellStyle name="Normal 2 2 2" xfId="193"/>
    <cellStyle name="Normal 2 3" xfId="122"/>
    <cellStyle name="Normal 2 3 2" xfId="202"/>
    <cellStyle name="Normal 2 4" xfId="189"/>
    <cellStyle name="Normal 2_Hoja1" xfId="175"/>
    <cellStyle name="Normal 3" xfId="5"/>
    <cellStyle name="Normal 3 2" xfId="139"/>
    <cellStyle name="Normal 3 2 2" xfId="201"/>
    <cellStyle name="Normal 3_Hoja1" xfId="176"/>
    <cellStyle name="Normal 4" xfId="9"/>
    <cellStyle name="Normal 4 2" xfId="140"/>
    <cellStyle name="Normal 4_Hoja1" xfId="178"/>
    <cellStyle name="Normal 5" xfId="127"/>
    <cellStyle name="Normal 5 2" xfId="195"/>
    <cellStyle name="Normal 6" xfId="141"/>
    <cellStyle name="Normal 6 2" xfId="198"/>
    <cellStyle name="Normal 7" xfId="142"/>
    <cellStyle name="Normal 7 2" xfId="143"/>
    <cellStyle name="Normal 7 3" xfId="203"/>
    <cellStyle name="Normal 8" xfId="144"/>
    <cellStyle name="Normal 9" xfId="149"/>
    <cellStyle name="Notas 2" xfId="78"/>
    <cellStyle name="Percent 2" xfId="123"/>
    <cellStyle name="Percent 2 2" xfId="145"/>
    <cellStyle name="Percent 3" xfId="146"/>
    <cellStyle name="Percent 3 2" xfId="147"/>
    <cellStyle name="Porcentaje" xfId="1" builtinId="5"/>
    <cellStyle name="Porcentaje 2" xfId="7"/>
    <cellStyle name="Porcentaje 2 2" xfId="120"/>
    <cellStyle name="Porcentaje 3" xfId="126"/>
    <cellStyle name="Salida 2" xfId="79"/>
    <cellStyle name="TableBlueBody" xfId="156"/>
    <cellStyle name="TableBlueHeader" xfId="157"/>
    <cellStyle name="TableGreenBody" xfId="158"/>
    <cellStyle name="TableGreenHeader" xfId="159"/>
    <cellStyle name="TableGreyBody" xfId="160"/>
    <cellStyle name="TableGreyHeader" xfId="161"/>
    <cellStyle name="TableLilacBody" xfId="162"/>
    <cellStyle name="TableLilacHeader" xfId="163"/>
    <cellStyle name="TablePinkBody" xfId="164"/>
    <cellStyle name="TablePinkHeader" xfId="165"/>
    <cellStyle name="TableWhiteBody" xfId="166"/>
    <cellStyle name="TableWhiteHeader" xfId="167"/>
    <cellStyle name="TableYellowBody" xfId="168"/>
    <cellStyle name="TableYellowHeader" xfId="169"/>
    <cellStyle name="Texto de advertencia 2" xfId="82"/>
    <cellStyle name="Texto explicativo 2" xfId="67"/>
    <cellStyle name="Título 2 2" xfId="71"/>
    <cellStyle name="Título 3 2" xfId="72"/>
    <cellStyle name="Título 4" xfId="80"/>
    <cellStyle name="Título 5" xfId="173"/>
    <cellStyle name="Título 6" xfId="171"/>
    <cellStyle name="Total 2" xfId="81"/>
    <cellStyle name="XLConnect.Numeric" xfId="10"/>
    <cellStyle name="XLConnect.String" xfId="12"/>
  </cellStyles>
  <dxfs count="36">
    <dxf>
      <fill>
        <patternFill>
          <bgColor theme="0"/>
        </patternFill>
      </fill>
      <border>
        <left/>
        <right/>
        <bottom/>
        <vertical/>
        <horizontal/>
      </border>
    </dxf>
    <dxf>
      <border>
        <bottom style="thin">
          <color auto="1"/>
        </bottom>
        <vertical/>
        <horizontal/>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border>
        <left/>
        <right/>
        <top/>
        <bottom style="thin">
          <color auto="1"/>
        </bottom>
        <vertical/>
        <horizontal/>
      </border>
    </dxf>
    <dxf>
      <fill>
        <patternFill>
          <bgColor theme="0" tint="-0.14996795556505021"/>
        </patternFill>
      </fill>
    </dxf>
    <dxf>
      <border>
        <top style="thin">
          <color auto="1"/>
        </top>
        <vertical/>
        <horizontal/>
      </border>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tint="-0.24994659260841701"/>
      </font>
      <fill>
        <patternFill>
          <bgColor theme="0" tint="-0.24994659260841701"/>
        </patternFill>
      </fill>
    </dxf>
    <dxf>
      <font>
        <strike val="0"/>
        <color theme="0"/>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2"/>
      </font>
      <fill>
        <patternFill patternType="none">
          <bgColor auto="1"/>
        </patternFill>
      </fill>
      <border>
        <bottom style="thin">
          <color theme="2"/>
        </bottom>
      </border>
    </dxf>
    <dxf>
      <border diagonalUp="0" diagonalDown="0">
        <left style="hair">
          <color theme="6"/>
        </left>
        <right style="hair">
          <color theme="6"/>
        </right>
        <top style="hair">
          <color theme="6"/>
        </top>
        <bottom style="hair">
          <color theme="6"/>
        </bottom>
        <vertical style="hair">
          <color theme="6"/>
        </vertical>
        <horizontal style="hair">
          <color theme="6"/>
        </horizontal>
      </border>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0"/>
      </font>
      <fill>
        <patternFill>
          <bgColor theme="2"/>
        </patternFill>
      </fill>
    </dxf>
    <dxf>
      <border diagonalUp="0" diagonalDown="0">
        <left style="hair">
          <color theme="2"/>
        </left>
        <right style="hair">
          <color theme="2"/>
        </right>
        <top style="hair">
          <color theme="2"/>
        </top>
        <bottom style="hair">
          <color theme="2"/>
        </bottom>
        <vertical style="hair">
          <color theme="2"/>
        </vertical>
        <horizontal style="hair">
          <color theme="2"/>
        </horizontal>
      </border>
    </dxf>
  </dxfs>
  <tableStyles count="2" defaultTableStyle="TableStyleMedium2" defaultPivotStyle="PivotStyleLight16">
    <tableStyle name="E_Table1_Green" pivot="0" count="7">
      <tableStyleElement type="wholeTable" dxfId="35"/>
      <tableStyleElement type="headerRow" dxfId="34"/>
      <tableStyleElement type="totalRow" dxfId="33"/>
      <tableStyleElement type="firstColumn" dxfId="32"/>
      <tableStyleElement type="lastColumn" dxfId="31"/>
      <tableStyleElement type="secondRowStripe" dxfId="30"/>
      <tableStyleElement type="secondColumnStripe" dxfId="29"/>
    </tableStyle>
    <tableStyle name="E_Table2_Green" pivot="0" count="7">
      <tableStyleElement type="wholeTable" dxfId="28"/>
      <tableStyleElement type="headerRow" dxfId="27"/>
      <tableStyleElement type="totalRow" dxfId="26"/>
      <tableStyleElement type="firstColumn" dxfId="25"/>
      <tableStyleElement type="lastColumn" dxfId="24"/>
      <tableStyleElement type="secondRowStripe" dxfId="23"/>
      <tableStyleElement type="secondColumnStripe" dxfId="22"/>
    </tableStyle>
  </tableStyles>
  <colors>
    <mruColors>
      <color rgb="FFC00000"/>
      <color rgb="FF8F9FB7"/>
      <color rgb="FF909090"/>
      <color rgb="FFFFDC79"/>
      <color rgb="FF333F50"/>
      <color rgb="FFEFB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OEM data projections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'Raw data OLD'!$B$14</c:f>
              <c:strCache>
                <c:ptCount val="1"/>
                <c:pt idx="0">
                  <c:v>Global sales  (PLDVs), millions per year</c:v>
                </c:pt>
              </c:strCache>
            </c:strRef>
          </c:tx>
          <c:spPr>
            <a:ln w="28575" cap="rnd">
              <a:solidFill>
                <a:schemeClr val="accent2"/>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OLD'!$C$14:$AQ$14</c:f>
              <c:numCache>
                <c:formatCode>#,##0.00</c:formatCode>
                <c:ptCount val="41"/>
                <c:pt idx="2">
                  <c:v>78000000</c:v>
                </c:pt>
                <c:pt idx="3">
                  <c:v>78681941.175548449</c:v>
                </c:pt>
                <c:pt idx="4">
                  <c:v>79363882.351096913</c:v>
                </c:pt>
                <c:pt idx="5">
                  <c:v>80045823.526645362</c:v>
                </c:pt>
                <c:pt idx="6">
                  <c:v>82950871.051749215</c:v>
                </c:pt>
                <c:pt idx="7">
                  <c:v>85855918.576853082</c:v>
                </c:pt>
                <c:pt idx="8">
                  <c:v>88760966.101956934</c:v>
                </c:pt>
                <c:pt idx="9">
                  <c:v>91666013.627060801</c:v>
                </c:pt>
                <c:pt idx="10">
                  <c:v>94571061.152164653</c:v>
                </c:pt>
                <c:pt idx="11">
                  <c:v>95643362.787929326</c:v>
                </c:pt>
                <c:pt idx="12">
                  <c:v>96715664.423694</c:v>
                </c:pt>
                <c:pt idx="13">
                  <c:v>97787966.059458658</c:v>
                </c:pt>
                <c:pt idx="14">
                  <c:v>98860267.695223331</c:v>
                </c:pt>
                <c:pt idx="15">
                  <c:v>99932569.330988005</c:v>
                </c:pt>
                <c:pt idx="16">
                  <c:v>103453539.22432147</c:v>
                </c:pt>
                <c:pt idx="17">
                  <c:v>106974509.11765493</c:v>
                </c:pt>
                <c:pt idx="18">
                  <c:v>110495479.0109884</c:v>
                </c:pt>
                <c:pt idx="19">
                  <c:v>114016448.90432186</c:v>
                </c:pt>
                <c:pt idx="20">
                  <c:v>117537418.79765533</c:v>
                </c:pt>
                <c:pt idx="21">
                  <c:v>117977204.10989356</c:v>
                </c:pt>
                <c:pt idx="22">
                  <c:v>118416989.42213179</c:v>
                </c:pt>
                <c:pt idx="23">
                  <c:v>118856774.73437001</c:v>
                </c:pt>
                <c:pt idx="24">
                  <c:v>119296560.04660824</c:v>
                </c:pt>
                <c:pt idx="25">
                  <c:v>119736345.35884647</c:v>
                </c:pt>
                <c:pt idx="26">
                  <c:v>121289215.62091209</c:v>
                </c:pt>
                <c:pt idx="27">
                  <c:v>122842085.88297771</c:v>
                </c:pt>
                <c:pt idx="28">
                  <c:v>124394956.14504333</c:v>
                </c:pt>
                <c:pt idx="29">
                  <c:v>125947826.40710895</c:v>
                </c:pt>
                <c:pt idx="30">
                  <c:v>127500696.66917457</c:v>
                </c:pt>
                <c:pt idx="31">
                  <c:v>130180019.88903075</c:v>
                </c:pt>
                <c:pt idx="32">
                  <c:v>132859343.10888693</c:v>
                </c:pt>
                <c:pt idx="33">
                  <c:v>135538666.3287431</c:v>
                </c:pt>
                <c:pt idx="34">
                  <c:v>138217989.5485993</c:v>
                </c:pt>
                <c:pt idx="35">
                  <c:v>140897312.76845548</c:v>
                </c:pt>
                <c:pt idx="36">
                  <c:v>141257640.86540273</c:v>
                </c:pt>
                <c:pt idx="37">
                  <c:v>141617968.96234998</c:v>
                </c:pt>
                <c:pt idx="38">
                  <c:v>141978297.0592972</c:v>
                </c:pt>
                <c:pt idx="39">
                  <c:v>142338625.15624446</c:v>
                </c:pt>
                <c:pt idx="40">
                  <c:v>142698953.25319171</c:v>
                </c:pt>
              </c:numCache>
            </c:numRef>
          </c:val>
          <c:smooth val="0"/>
        </c:ser>
        <c:ser>
          <c:idx val="2"/>
          <c:order val="1"/>
          <c:tx>
            <c:strRef>
              <c:f>'Raw data OLD'!$B$15</c:f>
              <c:strCache>
                <c:ptCount val="1"/>
                <c:pt idx="0">
                  <c:v>SCOPE 1 Global emissions of OEM (t CO2)</c:v>
                </c:pt>
              </c:strCache>
            </c:strRef>
          </c:tx>
          <c:spPr>
            <a:ln w="28575" cap="rnd">
              <a:solidFill>
                <a:schemeClr val="accent3"/>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OLD'!$C$15:$AQ$15</c:f>
              <c:numCache>
                <c:formatCode>#,##0.00</c:formatCode>
                <c:ptCount val="41"/>
                <c:pt idx="2">
                  <c:v>21340633.097842265</c:v>
                </c:pt>
                <c:pt idx="3">
                  <c:v>20671889.381375693</c:v>
                </c:pt>
                <c:pt idx="4">
                  <c:v>20003145.664909117</c:v>
                </c:pt>
                <c:pt idx="5">
                  <c:v>19334401.948442545</c:v>
                </c:pt>
                <c:pt idx="6">
                  <c:v>19055445.14516829</c:v>
                </c:pt>
                <c:pt idx="7">
                  <c:v>18776488.341894034</c:v>
                </c:pt>
                <c:pt idx="8">
                  <c:v>18497531.538619783</c:v>
                </c:pt>
                <c:pt idx="9">
                  <c:v>18218574.735345528</c:v>
                </c:pt>
                <c:pt idx="10">
                  <c:v>17939617.932071272</c:v>
                </c:pt>
                <c:pt idx="11">
                  <c:v>17660661.128797017</c:v>
                </c:pt>
                <c:pt idx="12">
                  <c:v>17381704.325522762</c:v>
                </c:pt>
                <c:pt idx="13">
                  <c:v>17102747.52224851</c:v>
                </c:pt>
                <c:pt idx="14">
                  <c:v>16823790.718974255</c:v>
                </c:pt>
                <c:pt idx="15">
                  <c:v>16544833.9157</c:v>
                </c:pt>
                <c:pt idx="16">
                  <c:v>16308316.816698475</c:v>
                </c:pt>
                <c:pt idx="17">
                  <c:v>16071799.71769695</c:v>
                </c:pt>
                <c:pt idx="18">
                  <c:v>15835282.618695423</c:v>
                </c:pt>
                <c:pt idx="19">
                  <c:v>15598765.519693898</c:v>
                </c:pt>
                <c:pt idx="20">
                  <c:v>15362248.420692373</c:v>
                </c:pt>
                <c:pt idx="21">
                  <c:v>15147389.36012378</c:v>
                </c:pt>
                <c:pt idx="22">
                  <c:v>14932530.299555186</c:v>
                </c:pt>
                <c:pt idx="23">
                  <c:v>14717671.238986595</c:v>
                </c:pt>
                <c:pt idx="24">
                  <c:v>14502812.178418001</c:v>
                </c:pt>
                <c:pt idx="25">
                  <c:v>14287953.117849408</c:v>
                </c:pt>
                <c:pt idx="26">
                  <c:v>14113119.633404883</c:v>
                </c:pt>
                <c:pt idx="27">
                  <c:v>13938286.148960358</c:v>
                </c:pt>
                <c:pt idx="28">
                  <c:v>13763452.664515834</c:v>
                </c:pt>
                <c:pt idx="29">
                  <c:v>13588619.180071309</c:v>
                </c:pt>
                <c:pt idx="30">
                  <c:v>13413785.695626784</c:v>
                </c:pt>
                <c:pt idx="31">
                  <c:v>13319391.660679532</c:v>
                </c:pt>
                <c:pt idx="32">
                  <c:v>13224997.62573228</c:v>
                </c:pt>
                <c:pt idx="33">
                  <c:v>13130603.590785027</c:v>
                </c:pt>
                <c:pt idx="34">
                  <c:v>13036209.555837775</c:v>
                </c:pt>
                <c:pt idx="35">
                  <c:v>12941815.520890523</c:v>
                </c:pt>
                <c:pt idx="36">
                  <c:v>12784989.116977736</c:v>
                </c:pt>
                <c:pt idx="37">
                  <c:v>12628162.713064952</c:v>
                </c:pt>
                <c:pt idx="38">
                  <c:v>12471336.309152165</c:v>
                </c:pt>
                <c:pt idx="39">
                  <c:v>12314509.905239381</c:v>
                </c:pt>
                <c:pt idx="40">
                  <c:v>12157683.501326595</c:v>
                </c:pt>
              </c:numCache>
            </c:numRef>
          </c:val>
          <c:smooth val="0"/>
        </c:ser>
        <c:ser>
          <c:idx val="4"/>
          <c:order val="2"/>
          <c:tx>
            <c:strRef>
              <c:f>'Raw data OLD'!$B$17</c:f>
              <c:strCache>
                <c:ptCount val="1"/>
                <c:pt idx="0">
                  <c:v>SCOPE 2 Global emissions CO2 of OEM (t CO2) </c:v>
                </c:pt>
              </c:strCache>
            </c:strRef>
          </c:tx>
          <c:spPr>
            <a:ln w="28575" cap="rnd">
              <a:solidFill>
                <a:schemeClr val="accent5"/>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OLD'!$C$17:$AQ$17</c:f>
              <c:numCache>
                <c:formatCode>#,##0.00</c:formatCode>
                <c:ptCount val="41"/>
                <c:pt idx="2">
                  <c:v>37659298.433373168</c:v>
                </c:pt>
                <c:pt idx="3">
                  <c:v>39322555.652595542</c:v>
                </c:pt>
                <c:pt idx="4">
                  <c:v>40985812.871817924</c:v>
                </c:pt>
                <c:pt idx="5">
                  <c:v>42649070.091040298</c:v>
                </c:pt>
                <c:pt idx="6">
                  <c:v>43237450.017782457</c:v>
                </c:pt>
                <c:pt idx="7">
                  <c:v>43825829.944524616</c:v>
                </c:pt>
                <c:pt idx="8">
                  <c:v>44414209.871266767</c:v>
                </c:pt>
                <c:pt idx="9">
                  <c:v>45002589.798008926</c:v>
                </c:pt>
                <c:pt idx="10">
                  <c:v>45590969.724751085</c:v>
                </c:pt>
                <c:pt idx="11">
                  <c:v>42713568.050879732</c:v>
                </c:pt>
                <c:pt idx="12">
                  <c:v>39836166.377008379</c:v>
                </c:pt>
                <c:pt idx="13">
                  <c:v>36958764.703137025</c:v>
                </c:pt>
                <c:pt idx="14">
                  <c:v>34081363.029265672</c:v>
                </c:pt>
                <c:pt idx="15">
                  <c:v>31203961.355394319</c:v>
                </c:pt>
                <c:pt idx="16">
                  <c:v>29693841.555950373</c:v>
                </c:pt>
                <c:pt idx="17">
                  <c:v>28183721.756506428</c:v>
                </c:pt>
                <c:pt idx="18">
                  <c:v>26673601.957062483</c:v>
                </c:pt>
                <c:pt idx="19">
                  <c:v>25163482.157618538</c:v>
                </c:pt>
                <c:pt idx="20">
                  <c:v>23653362.358174592</c:v>
                </c:pt>
                <c:pt idx="21">
                  <c:v>21948345.810887638</c:v>
                </c:pt>
                <c:pt idx="22">
                  <c:v>20243329.263600685</c:v>
                </c:pt>
                <c:pt idx="23">
                  <c:v>18538312.716313731</c:v>
                </c:pt>
                <c:pt idx="24">
                  <c:v>16833296.169026777</c:v>
                </c:pt>
                <c:pt idx="25">
                  <c:v>15128279.621739823</c:v>
                </c:pt>
                <c:pt idx="26">
                  <c:v>14150349.467733681</c:v>
                </c:pt>
                <c:pt idx="27">
                  <c:v>13172419.313727537</c:v>
                </c:pt>
                <c:pt idx="28">
                  <c:v>12194489.159721395</c:v>
                </c:pt>
                <c:pt idx="29">
                  <c:v>11216559.005715251</c:v>
                </c:pt>
                <c:pt idx="30">
                  <c:v>10238628.851709109</c:v>
                </c:pt>
                <c:pt idx="31">
                  <c:v>9473257.6083617751</c:v>
                </c:pt>
                <c:pt idx="32">
                  <c:v>8707886.3650144413</c:v>
                </c:pt>
                <c:pt idx="33">
                  <c:v>7942515.1216671066</c:v>
                </c:pt>
                <c:pt idx="34">
                  <c:v>7177143.8783197729</c:v>
                </c:pt>
                <c:pt idx="35">
                  <c:v>6411772.6349724391</c:v>
                </c:pt>
                <c:pt idx="36">
                  <c:v>6013777.2549958108</c:v>
                </c:pt>
                <c:pt idx="37">
                  <c:v>5615781.8750191834</c:v>
                </c:pt>
                <c:pt idx="38">
                  <c:v>5217786.495042555</c:v>
                </c:pt>
                <c:pt idx="39">
                  <c:v>4819791.1150659267</c:v>
                </c:pt>
                <c:pt idx="40">
                  <c:v>4421795.7350892993</c:v>
                </c:pt>
              </c:numCache>
            </c:numRef>
          </c:val>
          <c:smooth val="0"/>
        </c:ser>
        <c:ser>
          <c:idx val="6"/>
          <c:order val="3"/>
          <c:tx>
            <c:strRef>
              <c:f>'Raw data OLD'!$B$19</c:f>
              <c:strCache>
                <c:ptCount val="1"/>
                <c:pt idx="0">
                  <c:v>SCOPE 1+2 Global emissions CO2 of OEM (t CO2) </c:v>
                </c:pt>
              </c:strCache>
            </c:strRef>
          </c:tx>
          <c:spPr>
            <a:ln w="28575" cap="rnd">
              <a:solidFill>
                <a:schemeClr val="accent1">
                  <a:lumMod val="60000"/>
                </a:schemeClr>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OLD'!$C$19:$AQ$19</c:f>
              <c:numCache>
                <c:formatCode>#,##0.00</c:formatCode>
                <c:ptCount val="41"/>
                <c:pt idx="2">
                  <c:v>58999931.531215429</c:v>
                </c:pt>
                <c:pt idx="3">
                  <c:v>59994445.033971235</c:v>
                </c:pt>
                <c:pt idx="4">
                  <c:v>60988958.536727041</c:v>
                </c:pt>
                <c:pt idx="5">
                  <c:v>61983472.039482847</c:v>
                </c:pt>
                <c:pt idx="6">
                  <c:v>62292895.162950747</c:v>
                </c:pt>
                <c:pt idx="7">
                  <c:v>62602318.286418647</c:v>
                </c:pt>
                <c:pt idx="8">
                  <c:v>62911741.409886554</c:v>
                </c:pt>
                <c:pt idx="9">
                  <c:v>63221164.533354454</c:v>
                </c:pt>
                <c:pt idx="10">
                  <c:v>63530587.656822354</c:v>
                </c:pt>
                <c:pt idx="11">
                  <c:v>60374229.179676749</c:v>
                </c:pt>
                <c:pt idx="12">
                  <c:v>57217870.702531144</c:v>
                </c:pt>
                <c:pt idx="13">
                  <c:v>54061512.225385532</c:v>
                </c:pt>
                <c:pt idx="14">
                  <c:v>50905153.748239927</c:v>
                </c:pt>
                <c:pt idx="15">
                  <c:v>47748795.271094322</c:v>
                </c:pt>
                <c:pt idx="16">
                  <c:v>46002158.37264885</c:v>
                </c:pt>
                <c:pt idx="17">
                  <c:v>44255521.474203378</c:v>
                </c:pt>
                <c:pt idx="18">
                  <c:v>42508884.575757906</c:v>
                </c:pt>
                <c:pt idx="19">
                  <c:v>40762247.677312434</c:v>
                </c:pt>
                <c:pt idx="20">
                  <c:v>39015610.778866962</c:v>
                </c:pt>
                <c:pt idx="21">
                  <c:v>37095735.171011418</c:v>
                </c:pt>
                <c:pt idx="22">
                  <c:v>35175859.563155867</c:v>
                </c:pt>
                <c:pt idx="23">
                  <c:v>33255983.955300324</c:v>
                </c:pt>
                <c:pt idx="24">
                  <c:v>31336108.347444776</c:v>
                </c:pt>
                <c:pt idx="25">
                  <c:v>29416232.739589229</c:v>
                </c:pt>
                <c:pt idx="26">
                  <c:v>28263469.101138562</c:v>
                </c:pt>
                <c:pt idx="27">
                  <c:v>27110705.462687895</c:v>
                </c:pt>
                <c:pt idx="28">
                  <c:v>25957941.824237227</c:v>
                </c:pt>
                <c:pt idx="29">
                  <c:v>24805178.18578656</c:v>
                </c:pt>
                <c:pt idx="30">
                  <c:v>23652414.547335893</c:v>
                </c:pt>
                <c:pt idx="31">
                  <c:v>22792649.269041307</c:v>
                </c:pt>
                <c:pt idx="32">
                  <c:v>21932883.990746722</c:v>
                </c:pt>
                <c:pt idx="33">
                  <c:v>21073118.712452136</c:v>
                </c:pt>
                <c:pt idx="34">
                  <c:v>20213353.434157547</c:v>
                </c:pt>
                <c:pt idx="35">
                  <c:v>19353588.155862961</c:v>
                </c:pt>
                <c:pt idx="36">
                  <c:v>18798766.371973548</c:v>
                </c:pt>
                <c:pt idx="37">
                  <c:v>18243944.588084135</c:v>
                </c:pt>
                <c:pt idx="38">
                  <c:v>17689122.804194719</c:v>
                </c:pt>
                <c:pt idx="39">
                  <c:v>17134301.020305306</c:v>
                </c:pt>
                <c:pt idx="40">
                  <c:v>16579479.236415893</c:v>
                </c:pt>
              </c:numCache>
            </c:numRef>
          </c:val>
          <c:smooth val="0"/>
        </c:ser>
        <c:dLbls>
          <c:showLegendKey val="0"/>
          <c:showVal val="0"/>
          <c:showCatName val="0"/>
          <c:showSerName val="0"/>
          <c:showPercent val="0"/>
          <c:showBubbleSize val="0"/>
        </c:dLbls>
        <c:smooth val="0"/>
        <c:axId val="543316352"/>
        <c:axId val="543314672"/>
      </c:lineChart>
      <c:catAx>
        <c:axId val="54331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314672"/>
        <c:crosses val="autoZero"/>
        <c:auto val="1"/>
        <c:lblAlgn val="ctr"/>
        <c:lblOffset val="100"/>
        <c:tickLblSkip val="5"/>
        <c:noMultiLvlLbl val="0"/>
      </c:catAx>
      <c:valAx>
        <c:axId val="543314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Carbon intensity</a:t>
            </a:r>
            <a:r>
              <a:rPr lang="en-US" baseline="0"/>
              <a:t> reduction drivers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1"/>
          <c:tx>
            <c:strRef>
              <c:f>'Raw data 2DS'!$G$87</c:f>
              <c:strCache>
                <c:ptCount val="1"/>
                <c:pt idx="0">
                  <c:v>Grid decarbonization contribution to OEM intensity reduction</c:v>
                </c:pt>
              </c:strCache>
            </c:strRef>
          </c:tx>
          <c:spPr>
            <a:solidFill>
              <a:schemeClr val="accent1">
                <a:lumMod val="60000"/>
                <a:lumOff val="40000"/>
              </a:schemeClr>
            </a:solidFill>
            <a:ln>
              <a:noFill/>
            </a:ln>
            <a:effectLst/>
          </c:spPr>
          <c:cat>
            <c:numRef>
              <c:f>'Raw data 2DS'!$K$81:$Q$81</c:f>
              <c:numCache>
                <c:formatCode>General</c:formatCode>
                <c:ptCount val="7"/>
                <c:pt idx="0">
                  <c:v>2014</c:v>
                </c:pt>
                <c:pt idx="1">
                  <c:v>2025</c:v>
                </c:pt>
                <c:pt idx="2">
                  <c:v>2030</c:v>
                </c:pt>
                <c:pt idx="3">
                  <c:v>2035</c:v>
                </c:pt>
                <c:pt idx="4">
                  <c:v>2040</c:v>
                </c:pt>
                <c:pt idx="5">
                  <c:v>2045</c:v>
                </c:pt>
                <c:pt idx="6">
                  <c:v>2050</c:v>
                </c:pt>
              </c:numCache>
            </c:numRef>
          </c:cat>
          <c:val>
            <c:numRef>
              <c:f>'Raw data 2DS'!$K$87:$Q$87</c:f>
              <c:numCache>
                <c:formatCode>0%</c:formatCode>
                <c:ptCount val="7"/>
                <c:pt idx="1">
                  <c:v>0.28403294394875889</c:v>
                </c:pt>
                <c:pt idx="2">
                  <c:v>0.40556211213528304</c:v>
                </c:pt>
                <c:pt idx="3">
                  <c:v>0.52172682264066106</c:v>
                </c:pt>
                <c:pt idx="4">
                  <c:v>0.56745397193853997</c:v>
                </c:pt>
                <c:pt idx="5">
                  <c:v>0.58277970265779233</c:v>
                </c:pt>
                <c:pt idx="6">
                  <c:v>0.60659495800522722</c:v>
                </c:pt>
              </c:numCache>
            </c:numRef>
          </c:val>
        </c:ser>
        <c:ser>
          <c:idx val="1"/>
          <c:order val="2"/>
          <c:tx>
            <c:strRef>
              <c:f>'Raw data 2DS'!$G$86</c:f>
              <c:strCache>
                <c:ptCount val="1"/>
                <c:pt idx="0">
                  <c:v>EE contribution to OEM intensity reduction </c:v>
                </c:pt>
              </c:strCache>
            </c:strRef>
          </c:tx>
          <c:spPr>
            <a:solidFill>
              <a:schemeClr val="accent2">
                <a:lumMod val="40000"/>
                <a:lumOff val="60000"/>
              </a:schemeClr>
            </a:solidFill>
            <a:ln>
              <a:noFill/>
            </a:ln>
            <a:effectLst/>
          </c:spPr>
          <c:cat>
            <c:numRef>
              <c:f>'Raw data 2DS'!$K$81:$Q$81</c:f>
              <c:numCache>
                <c:formatCode>General</c:formatCode>
                <c:ptCount val="7"/>
                <c:pt idx="0">
                  <c:v>2014</c:v>
                </c:pt>
                <c:pt idx="1">
                  <c:v>2025</c:v>
                </c:pt>
                <c:pt idx="2">
                  <c:v>2030</c:v>
                </c:pt>
                <c:pt idx="3">
                  <c:v>2035</c:v>
                </c:pt>
                <c:pt idx="4">
                  <c:v>2040</c:v>
                </c:pt>
                <c:pt idx="5">
                  <c:v>2045</c:v>
                </c:pt>
                <c:pt idx="6">
                  <c:v>2050</c:v>
                </c:pt>
              </c:numCache>
            </c:numRef>
          </c:cat>
          <c:val>
            <c:numRef>
              <c:f>'Raw data 2DS'!$K$86:$Q$86</c:f>
              <c:numCache>
                <c:formatCode>0%</c:formatCode>
                <c:ptCount val="7"/>
                <c:pt idx="1">
                  <c:v>-3.9512607941312129E-3</c:v>
                </c:pt>
                <c:pt idx="2">
                  <c:v>0.12819234652163683</c:v>
                </c:pt>
                <c:pt idx="3">
                  <c:v>0.11409125401014235</c:v>
                </c:pt>
                <c:pt idx="4">
                  <c:v>0.14729598024099616</c:v>
                </c:pt>
                <c:pt idx="5">
                  <c:v>0.21940017897443734</c:v>
                </c:pt>
                <c:pt idx="6">
                  <c:v>0.21916870329889415</c:v>
                </c:pt>
              </c:numCache>
            </c:numRef>
          </c:val>
        </c:ser>
        <c:dLbls>
          <c:showLegendKey val="0"/>
          <c:showVal val="0"/>
          <c:showCatName val="0"/>
          <c:showSerName val="0"/>
          <c:showPercent val="0"/>
          <c:showBubbleSize val="0"/>
        </c:dLbls>
        <c:axId val="622354048"/>
        <c:axId val="622353488"/>
      </c:areaChart>
      <c:lineChart>
        <c:grouping val="stacked"/>
        <c:varyColors val="0"/>
        <c:ser>
          <c:idx val="0"/>
          <c:order val="0"/>
          <c:tx>
            <c:strRef>
              <c:f>'Raw data 2DS'!$G$85</c:f>
              <c:strCache>
                <c:ptCount val="1"/>
                <c:pt idx="0">
                  <c:v>Total % reduction in OEM S1+S2 intensity</c:v>
                </c:pt>
              </c:strCache>
            </c:strRef>
          </c:tx>
          <c:spPr>
            <a:ln w="28575" cap="rnd">
              <a:solidFill>
                <a:srgbClr val="7030A0"/>
              </a:solidFill>
              <a:round/>
            </a:ln>
            <a:effectLst/>
          </c:spPr>
          <c:marker>
            <c:symbol val="none"/>
          </c:marker>
          <c:cat>
            <c:numRef>
              <c:f>'Raw data 2DS'!$K$81:$Q$81</c:f>
              <c:numCache>
                <c:formatCode>General</c:formatCode>
                <c:ptCount val="7"/>
                <c:pt idx="0">
                  <c:v>2014</c:v>
                </c:pt>
                <c:pt idx="1">
                  <c:v>2025</c:v>
                </c:pt>
                <c:pt idx="2">
                  <c:v>2030</c:v>
                </c:pt>
                <c:pt idx="3">
                  <c:v>2035</c:v>
                </c:pt>
                <c:pt idx="4">
                  <c:v>2040</c:v>
                </c:pt>
                <c:pt idx="5">
                  <c:v>2045</c:v>
                </c:pt>
                <c:pt idx="6">
                  <c:v>2050</c:v>
                </c:pt>
              </c:numCache>
            </c:numRef>
          </c:cat>
          <c:val>
            <c:numRef>
              <c:f>'Raw data 2DS'!$K$85:$Q$85</c:f>
              <c:numCache>
                <c:formatCode>0%</c:formatCode>
                <c:ptCount val="7"/>
                <c:pt idx="1">
                  <c:v>0.28008168315462767</c:v>
                </c:pt>
                <c:pt idx="2">
                  <c:v>0.53375445865691984</c:v>
                </c:pt>
                <c:pt idx="3">
                  <c:v>0.63581807665080348</c:v>
                </c:pt>
                <c:pt idx="4">
                  <c:v>0.71474995217953607</c:v>
                </c:pt>
                <c:pt idx="5">
                  <c:v>0.80217988163222964</c:v>
                </c:pt>
                <c:pt idx="6">
                  <c:v>0.82576366130412127</c:v>
                </c:pt>
              </c:numCache>
            </c:numRef>
          </c:val>
          <c:smooth val="0"/>
        </c:ser>
        <c:dLbls>
          <c:showLegendKey val="0"/>
          <c:showVal val="0"/>
          <c:showCatName val="0"/>
          <c:showSerName val="0"/>
          <c:showPercent val="0"/>
          <c:showBubbleSize val="0"/>
        </c:dLbls>
        <c:marker val="1"/>
        <c:smooth val="0"/>
        <c:axId val="622352368"/>
        <c:axId val="622352928"/>
      </c:lineChart>
      <c:catAx>
        <c:axId val="6223523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52928"/>
        <c:crosses val="autoZero"/>
        <c:auto val="1"/>
        <c:lblAlgn val="ctr"/>
        <c:lblOffset val="100"/>
        <c:noMultiLvlLbl val="0"/>
      </c:catAx>
      <c:valAx>
        <c:axId val="6223529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52368"/>
        <c:crosses val="autoZero"/>
        <c:crossBetween val="between"/>
      </c:valAx>
      <c:valAx>
        <c:axId val="62235348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54048"/>
        <c:crosses val="max"/>
        <c:crossBetween val="between"/>
      </c:valAx>
      <c:catAx>
        <c:axId val="622354048"/>
        <c:scaling>
          <c:orientation val="minMax"/>
        </c:scaling>
        <c:delete val="1"/>
        <c:axPos val="b"/>
        <c:numFmt formatCode="General" sourceLinked="1"/>
        <c:majorTickMark val="out"/>
        <c:minorTickMark val="none"/>
        <c:tickLblPos val="nextTo"/>
        <c:crossAx val="6223534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Carbon</a:t>
            </a:r>
            <a:r>
              <a:rPr lang="en-US" b="1" baseline="0"/>
              <a:t> intensity of PLDV manufacturing</a:t>
            </a:r>
            <a:endParaRPr 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'Raw data B2DS'!$C$177</c:f>
              <c:strCache>
                <c:ptCount val="1"/>
                <c:pt idx="0">
                  <c:v>Scopes 1 &amp; 2 carbon intensity - B2DS</c:v>
                </c:pt>
              </c:strCache>
            </c:strRef>
          </c:tx>
          <c:spPr>
            <a:ln w="28575" cap="rnd">
              <a:solidFill>
                <a:srgbClr val="EFB300"/>
              </a:solidFill>
              <a:round/>
            </a:ln>
            <a:effectLst/>
          </c:spPr>
          <c:marker>
            <c:symbol val="none"/>
          </c:marker>
          <c:cat>
            <c:numRef>
              <c:f>'Raw data B2DS'!$D$174:$AP$174</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B2DS'!$D$177:$AP$177</c:f>
              <c:numCache>
                <c:formatCode>General</c:formatCode>
                <c:ptCount val="39"/>
                <c:pt idx="0">
                  <c:v>756.40937860532608</c:v>
                </c:pt>
                <c:pt idx="1">
                  <c:v>762.95237529085307</c:v>
                </c:pt>
                <c:pt idx="2">
                  <c:v>768.90723893101972</c:v>
                </c:pt>
                <c:pt idx="3">
                  <c:v>774.34985747694884</c:v>
                </c:pt>
                <c:pt idx="4">
                  <c:v>740.55007789361514</c:v>
                </c:pt>
                <c:pt idx="5">
                  <c:v>707.48838580579081</c:v>
                </c:pt>
                <c:pt idx="6">
                  <c:v>675.14086585301379</c:v>
                </c:pt>
                <c:pt idx="7">
                  <c:v>643.48462483571302</c:v>
                </c:pt>
                <c:pt idx="8">
                  <c:v>612.49773768263071</c:v>
                </c:pt>
                <c:pt idx="9">
                  <c:v>590.15649406876491</c:v>
                </c:pt>
                <c:pt idx="10">
                  <c:v>567.67486678355272</c:v>
                </c:pt>
                <c:pt idx="11">
                  <c:v>545.05152848228363</c:v>
                </c:pt>
                <c:pt idx="12">
                  <c:v>522.28513503373358</c:v>
                </c:pt>
                <c:pt idx="13">
                  <c:v>499.37432525395485</c:v>
                </c:pt>
                <c:pt idx="14">
                  <c:v>459.90007815509625</c:v>
                </c:pt>
                <c:pt idx="15">
                  <c:v>423.13735410275456</c:v>
                </c:pt>
                <c:pt idx="16">
                  <c:v>388.81604451209546</c:v>
                </c:pt>
                <c:pt idx="17">
                  <c:v>356.70076367523211</c:v>
                </c:pt>
                <c:pt idx="18">
                  <c:v>326.58544289483245</c:v>
                </c:pt>
                <c:pt idx="19">
                  <c:v>311.37853888777084</c:v>
                </c:pt>
                <c:pt idx="20">
                  <c:v>296.25430328050743</c:v>
                </c:pt>
                <c:pt idx="21">
                  <c:v>281.21206379232683</c:v>
                </c:pt>
                <c:pt idx="22">
                  <c:v>266.25115541235357</c:v>
                </c:pt>
                <c:pt idx="23">
                  <c:v>251.37092030154983</c:v>
                </c:pt>
                <c:pt idx="24">
                  <c:v>236.47063838797919</c:v>
                </c:pt>
                <c:pt idx="25">
                  <c:v>221.90169091455687</c:v>
                </c:pt>
                <c:pt idx="26">
                  <c:v>207.6531476859542</c:v>
                </c:pt>
                <c:pt idx="27">
                  <c:v>193.71455403748422</c:v>
                </c:pt>
                <c:pt idx="28">
                  <c:v>180.07590525271945</c:v>
                </c:pt>
                <c:pt idx="29">
                  <c:v>163.89297692000176</c:v>
                </c:pt>
                <c:pt idx="30">
                  <c:v>148.65660304394694</c:v>
                </c:pt>
                <c:pt idx="31">
                  <c:v>134.28609609916299</c:v>
                </c:pt>
                <c:pt idx="32">
                  <c:v>120.70968594996489</c:v>
                </c:pt>
                <c:pt idx="33">
                  <c:v>107.8633210618097</c:v>
                </c:pt>
                <c:pt idx="34">
                  <c:v>101.23323666586053</c:v>
                </c:pt>
                <c:pt idx="35">
                  <c:v>94.6287365196454</c:v>
                </c:pt>
                <c:pt idx="36">
                  <c:v>88.049672821116744</c:v>
                </c:pt>
                <c:pt idx="37">
                  <c:v>81.495898904522846</c:v>
                </c:pt>
                <c:pt idx="38">
                  <c:v>74.967269229509128</c:v>
                </c:pt>
              </c:numCache>
            </c:numRef>
          </c:val>
          <c:smooth val="0"/>
        </c:ser>
        <c:ser>
          <c:idx val="5"/>
          <c:order val="1"/>
          <c:tx>
            <c:strRef>
              <c:f>'Raw data B2DS'!$C$180</c:f>
              <c:strCache>
                <c:ptCount val="1"/>
                <c:pt idx="0">
                  <c:v>ScopeS 1 &amp; 2 carbon intensity - 2DS</c:v>
                </c:pt>
              </c:strCache>
            </c:strRef>
          </c:tx>
          <c:spPr>
            <a:ln w="28575" cap="rnd">
              <a:solidFill>
                <a:srgbClr val="333F50"/>
              </a:solidFill>
              <a:round/>
            </a:ln>
            <a:effectLst/>
          </c:spPr>
          <c:marker>
            <c:symbol val="none"/>
          </c:marker>
          <c:cat>
            <c:numRef>
              <c:f>'Raw data B2DS'!$D$174:$AP$174</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B2DS'!$D$180:$AP$180</c:f>
              <c:numCache>
                <c:formatCode>General</c:formatCode>
                <c:ptCount val="39"/>
                <c:pt idx="0">
                  <c:v>756.40937860532608</c:v>
                </c:pt>
                <c:pt idx="1">
                  <c:v>762.95237529085307</c:v>
                </c:pt>
                <c:pt idx="2">
                  <c:v>768.90723893101972</c:v>
                </c:pt>
                <c:pt idx="3">
                  <c:v>774.34985747694884</c:v>
                </c:pt>
                <c:pt idx="4">
                  <c:v>759.70308700093312</c:v>
                </c:pt>
                <c:pt idx="5">
                  <c:v>744.96465151374002</c:v>
                </c:pt>
                <c:pt idx="6">
                  <c:v>730.13368780292183</c:v>
                </c:pt>
                <c:pt idx="7">
                  <c:v>715.20932178336682</c:v>
                </c:pt>
                <c:pt idx="8">
                  <c:v>700.19066832557598</c:v>
                </c:pt>
                <c:pt idx="9">
                  <c:v>669.38443056995538</c:v>
                </c:pt>
                <c:pt idx="10">
                  <c:v>639.77501354323226</c:v>
                </c:pt>
                <c:pt idx="11">
                  <c:v>611.2940015835768</c:v>
                </c:pt>
                <c:pt idx="12">
                  <c:v>583.87809612022022</c:v>
                </c:pt>
                <c:pt idx="13">
                  <c:v>557.468646044259</c:v>
                </c:pt>
                <c:pt idx="14">
                  <c:v>511.71985323235197</c:v>
                </c:pt>
                <c:pt idx="15">
                  <c:v>469.58521167838654</c:v>
                </c:pt>
                <c:pt idx="16">
                  <c:v>430.65271893944077</c:v>
                </c:pt>
                <c:pt idx="17">
                  <c:v>394.57070281323837</c:v>
                </c:pt>
                <c:pt idx="18">
                  <c:v>361.03716848827696</c:v>
                </c:pt>
                <c:pt idx="19">
                  <c:v>345.46420736700134</c:v>
                </c:pt>
                <c:pt idx="20">
                  <c:v>329.77573172950309</c:v>
                </c:pt>
                <c:pt idx="21">
                  <c:v>313.97045152472219</c:v>
                </c:pt>
                <c:pt idx="22">
                  <c:v>298.04705742032581</c:v>
                </c:pt>
                <c:pt idx="23">
                  <c:v>282.00422044113145</c:v>
                </c:pt>
                <c:pt idx="24">
                  <c:v>269.33740636875604</c:v>
                </c:pt>
                <c:pt idx="25">
                  <c:v>256.89786719899286</c:v>
                </c:pt>
                <c:pt idx="26">
                  <c:v>244.67954048390001</c:v>
                </c:pt>
                <c:pt idx="27">
                  <c:v>232.67657749242071</c:v>
                </c:pt>
                <c:pt idx="28">
                  <c:v>220.88333387506907</c:v>
                </c:pt>
                <c:pt idx="29">
                  <c:v>205.42865209055179</c:v>
                </c:pt>
                <c:pt idx="30">
                  <c:v>191.02921252932953</c:v>
                </c:pt>
                <c:pt idx="31">
                  <c:v>177.58050558251867</c:v>
                </c:pt>
                <c:pt idx="32">
                  <c:v>164.99138123658963</c:v>
                </c:pt>
                <c:pt idx="33">
                  <c:v>153.18198046415608</c:v>
                </c:pt>
                <c:pt idx="34">
                  <c:v>149.59899321554445</c:v>
                </c:pt>
                <c:pt idx="35">
                  <c:v>145.98178727238448</c:v>
                </c:pt>
                <c:pt idx="36">
                  <c:v>142.32987008315482</c:v>
                </c:pt>
                <c:pt idx="37">
                  <c:v>138.64273959756318</c:v>
                </c:pt>
                <c:pt idx="38">
                  <c:v>134.91988403645914</c:v>
                </c:pt>
              </c:numCache>
            </c:numRef>
          </c:val>
          <c:smooth val="0"/>
        </c:ser>
        <c:dLbls>
          <c:showLegendKey val="0"/>
          <c:showVal val="0"/>
          <c:showCatName val="0"/>
          <c:showSerName val="0"/>
          <c:showPercent val="0"/>
          <c:showBubbleSize val="0"/>
        </c:dLbls>
        <c:smooth val="0"/>
        <c:axId val="542948192"/>
        <c:axId val="542948752"/>
      </c:lineChart>
      <c:catAx>
        <c:axId val="54294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948752"/>
        <c:crosses val="autoZero"/>
        <c:auto val="1"/>
        <c:lblAlgn val="ctr"/>
        <c:lblOffset val="100"/>
        <c:tickLblSkip val="5"/>
        <c:noMultiLvlLbl val="0"/>
      </c:catAx>
      <c:valAx>
        <c:axId val="542948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kgCO2/car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948192"/>
        <c:crosses val="autoZero"/>
        <c:crossBetween val="between"/>
      </c:valAx>
      <c:spPr>
        <a:noFill/>
        <a:ln>
          <a:noFill/>
        </a:ln>
        <a:effectLst/>
      </c:spPr>
    </c:plotArea>
    <c:legend>
      <c:legendPos val="b"/>
      <c:layout>
        <c:manualLayout>
          <c:xMode val="edge"/>
          <c:yMode val="edge"/>
          <c:x val="8.8063992000999874E-2"/>
          <c:y val="0.90448053368328962"/>
          <c:w val="0.85561804774403205"/>
          <c:h val="9.55194663167104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Carbon intensity</a:t>
            </a:r>
            <a:r>
              <a:rPr lang="en-US" b="1" baseline="0"/>
              <a:t> reduction drivers - B2DS (indexed)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1"/>
          <c:tx>
            <c:strRef>
              <c:f>'Raw data B2DS'!$G$87</c:f>
              <c:strCache>
                <c:ptCount val="1"/>
                <c:pt idx="0">
                  <c:v>Grid decarbonization contribution to OEM intensity reduction</c:v>
                </c:pt>
              </c:strCache>
            </c:strRef>
          </c:tx>
          <c:spPr>
            <a:solidFill>
              <a:srgbClr val="8F9FB7"/>
            </a:solidFill>
            <a:ln>
              <a:noFill/>
            </a:ln>
            <a:effectLst/>
          </c:spP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B2DS'!$K$87:$Q$87</c:f>
              <c:numCache>
                <c:formatCode>0%</c:formatCode>
                <c:ptCount val="7"/>
                <c:pt idx="1">
                  <c:v>0.33173805474167395</c:v>
                </c:pt>
                <c:pt idx="2">
                  <c:v>0.43059584697918701</c:v>
                </c:pt>
                <c:pt idx="3">
                  <c:v>0.53192044886280454</c:v>
                </c:pt>
                <c:pt idx="4">
                  <c:v>0.59786770092231611</c:v>
                </c:pt>
                <c:pt idx="5">
                  <c:v>0.61828648168407618</c:v>
                </c:pt>
                <c:pt idx="6">
                  <c:v>0.64231367605401879</c:v>
                </c:pt>
              </c:numCache>
            </c:numRef>
          </c:val>
        </c:ser>
        <c:ser>
          <c:idx val="1"/>
          <c:order val="2"/>
          <c:tx>
            <c:strRef>
              <c:f>'Raw data B2DS'!$G$86</c:f>
              <c:strCache>
                <c:ptCount val="1"/>
                <c:pt idx="0">
                  <c:v>EE contribution to OEM intensity reduction </c:v>
                </c:pt>
              </c:strCache>
            </c:strRef>
          </c:tx>
          <c:spPr>
            <a:solidFill>
              <a:srgbClr val="FFDC79"/>
            </a:solidFill>
            <a:ln>
              <a:noFill/>
            </a:ln>
            <a:effectLst/>
          </c:spP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B2DS'!$K$86:$Q$86</c:f>
              <c:numCache>
                <c:formatCode>0%</c:formatCode>
                <c:ptCount val="7"/>
                <c:pt idx="1">
                  <c:v>2.3366978942896171E-2</c:v>
                </c:pt>
                <c:pt idx="2">
                  <c:v>0.14764977450392361</c:v>
                </c:pt>
                <c:pt idx="3">
                  <c:v>0.14345765332915886</c:v>
                </c:pt>
                <c:pt idx="4">
                  <c:v>0.16958120668198343</c:v>
                </c:pt>
                <c:pt idx="5">
                  <c:v>0.24241818556638481</c:v>
                </c:pt>
                <c:pt idx="6">
                  <c:v>0.26087314769800762</c:v>
                </c:pt>
              </c:numCache>
            </c:numRef>
          </c:val>
        </c:ser>
        <c:dLbls>
          <c:showLegendKey val="0"/>
          <c:showVal val="0"/>
          <c:showCatName val="0"/>
          <c:showSerName val="0"/>
          <c:showPercent val="0"/>
          <c:showBubbleSize val="0"/>
        </c:dLbls>
        <c:axId val="617187024"/>
        <c:axId val="617186464"/>
      </c:areaChart>
      <c:lineChart>
        <c:grouping val="stacked"/>
        <c:varyColors val="0"/>
        <c:ser>
          <c:idx val="0"/>
          <c:order val="0"/>
          <c:tx>
            <c:strRef>
              <c:f>'Raw data B2DS'!$G$85</c:f>
              <c:strCache>
                <c:ptCount val="1"/>
                <c:pt idx="0">
                  <c:v>Total % reduction in OEM S1+S2 intensity</c:v>
                </c:pt>
              </c:strCache>
            </c:strRef>
          </c:tx>
          <c:spPr>
            <a:ln w="28575" cap="rnd">
              <a:solidFill>
                <a:srgbClr val="C00000"/>
              </a:solidFill>
              <a:round/>
            </a:ln>
            <a:effectLst/>
          </c:spPr>
          <c:marker>
            <c:symbol val="none"/>
          </c:marke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B2DS'!$K$85:$Q$85</c:f>
              <c:numCache>
                <c:formatCode>0%</c:formatCode>
                <c:ptCount val="7"/>
                <c:pt idx="1">
                  <c:v>0.35510503368457014</c:v>
                </c:pt>
                <c:pt idx="2">
                  <c:v>0.57824562148311065</c:v>
                </c:pt>
                <c:pt idx="3">
                  <c:v>0.67537810219196337</c:v>
                </c:pt>
                <c:pt idx="4">
                  <c:v>0.76744890760429951</c:v>
                </c:pt>
                <c:pt idx="5">
                  <c:v>0.86070466725046102</c:v>
                </c:pt>
                <c:pt idx="6">
                  <c:v>0.9031868237520263</c:v>
                </c:pt>
              </c:numCache>
            </c:numRef>
          </c:val>
          <c:smooth val="0"/>
        </c:ser>
        <c:dLbls>
          <c:showLegendKey val="0"/>
          <c:showVal val="0"/>
          <c:showCatName val="0"/>
          <c:showSerName val="0"/>
          <c:showPercent val="0"/>
          <c:showBubbleSize val="0"/>
        </c:dLbls>
        <c:marker val="1"/>
        <c:smooth val="0"/>
        <c:axId val="542952672"/>
        <c:axId val="617185904"/>
      </c:lineChart>
      <c:catAx>
        <c:axId val="542952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185904"/>
        <c:crosses val="autoZero"/>
        <c:auto val="1"/>
        <c:lblAlgn val="ctr"/>
        <c:lblOffset val="100"/>
        <c:noMultiLvlLbl val="0"/>
      </c:catAx>
      <c:valAx>
        <c:axId val="61718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952672"/>
        <c:crosses val="autoZero"/>
        <c:crossBetween val="between"/>
      </c:valAx>
      <c:valAx>
        <c:axId val="6171864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187024"/>
        <c:crosses val="max"/>
        <c:crossBetween val="between"/>
      </c:valAx>
      <c:catAx>
        <c:axId val="617187024"/>
        <c:scaling>
          <c:orientation val="minMax"/>
        </c:scaling>
        <c:delete val="1"/>
        <c:axPos val="b"/>
        <c:numFmt formatCode="General" sourceLinked="1"/>
        <c:majorTickMark val="out"/>
        <c:minorTickMark val="none"/>
        <c:tickLblPos val="nextTo"/>
        <c:crossAx val="617186464"/>
        <c:crosses val="autoZero"/>
        <c:auto val="1"/>
        <c:lblAlgn val="ctr"/>
        <c:lblOffset val="100"/>
        <c:noMultiLvlLbl val="0"/>
      </c:catAx>
      <c:spPr>
        <a:noFill/>
        <a:ln>
          <a:noFill/>
        </a:ln>
        <a:effectLst/>
      </c:spPr>
    </c:plotArea>
    <c:legend>
      <c:legendPos val="b"/>
      <c:layout>
        <c:manualLayout>
          <c:xMode val="edge"/>
          <c:yMode val="edge"/>
          <c:x val="5.4125578052743414E-2"/>
          <c:y val="0.84687401574803145"/>
          <c:w val="0.88381217972753423"/>
          <c:h val="0.136459317585301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PLDV manufacturing sector data - B2DS (indexed)</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B2DS'!$C$183:$E$183</c:f>
              <c:strCache>
                <c:ptCount val="3"/>
                <c:pt idx="0">
                  <c:v>PLDV manufacturing Scope 1</c:v>
                </c:pt>
              </c:strCache>
            </c:strRef>
          </c:tx>
          <c:spPr>
            <a:ln w="28575" cap="rnd">
              <a:solidFill>
                <a:srgbClr val="EFB300"/>
              </a:solidFill>
              <a:round/>
            </a:ln>
            <a:effectLst/>
          </c:spPr>
          <c:marker>
            <c:symbol val="none"/>
          </c:marker>
          <c:cat>
            <c:numRef>
              <c:f>'Raw data B2DS'!$F$182:$AP$182</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B2DS'!$F$183:$AP$183</c:f>
              <c:numCache>
                <c:formatCode>#,##0.00</c:formatCode>
                <c:ptCount val="37"/>
                <c:pt idx="0">
                  <c:v>1</c:v>
                </c:pt>
                <c:pt idx="1">
                  <c:v>1.0045006545658486</c:v>
                </c:pt>
                <c:pt idx="2">
                  <c:v>0.98375338125194089</c:v>
                </c:pt>
                <c:pt idx="3">
                  <c:v>0.9630061079380331</c:v>
                </c:pt>
                <c:pt idx="4">
                  <c:v>0.9422588346241253</c:v>
                </c:pt>
                <c:pt idx="5">
                  <c:v>0.9215115613102175</c:v>
                </c:pt>
                <c:pt idx="6">
                  <c:v>0.90076428799630981</c:v>
                </c:pt>
                <c:pt idx="7">
                  <c:v>0.88001701468240212</c:v>
                </c:pt>
                <c:pt idx="8">
                  <c:v>0.85926974136849443</c:v>
                </c:pt>
                <c:pt idx="9">
                  <c:v>0.83852246805458674</c:v>
                </c:pt>
                <c:pt idx="10">
                  <c:v>0.81777519474067906</c:v>
                </c:pt>
                <c:pt idx="11">
                  <c:v>0.79702792142677126</c:v>
                </c:pt>
                <c:pt idx="12">
                  <c:v>0.77874804046634083</c:v>
                </c:pt>
                <c:pt idx="13">
                  <c:v>0.7604681595059104</c:v>
                </c:pt>
                <c:pt idx="14">
                  <c:v>0.74218827854547986</c:v>
                </c:pt>
                <c:pt idx="15">
                  <c:v>0.72390839758504955</c:v>
                </c:pt>
                <c:pt idx="16">
                  <c:v>0.70562851662461901</c:v>
                </c:pt>
                <c:pt idx="17">
                  <c:v>0.69795273763488297</c:v>
                </c:pt>
                <c:pt idx="18">
                  <c:v>0.69027695864514682</c:v>
                </c:pt>
                <c:pt idx="19">
                  <c:v>0.68260117965541078</c:v>
                </c:pt>
                <c:pt idx="20">
                  <c:v>0.67492540066567475</c:v>
                </c:pt>
                <c:pt idx="21">
                  <c:v>0.6672496216759386</c:v>
                </c:pt>
                <c:pt idx="22">
                  <c:v>0.66063258794775737</c:v>
                </c:pt>
                <c:pt idx="23">
                  <c:v>0.65401555421957591</c:v>
                </c:pt>
                <c:pt idx="24">
                  <c:v>0.64739852049139457</c:v>
                </c:pt>
                <c:pt idx="25">
                  <c:v>0.64078148676321312</c:v>
                </c:pt>
                <c:pt idx="26">
                  <c:v>0.63416445303503188</c:v>
                </c:pt>
                <c:pt idx="27">
                  <c:v>0.62304479277844071</c:v>
                </c:pt>
                <c:pt idx="28">
                  <c:v>0.61192513252184966</c:v>
                </c:pt>
                <c:pt idx="29">
                  <c:v>0.60080547226525871</c:v>
                </c:pt>
                <c:pt idx="30">
                  <c:v>0.58968581200866754</c:v>
                </c:pt>
                <c:pt idx="31">
                  <c:v>0.57856615175207649</c:v>
                </c:pt>
                <c:pt idx="32">
                  <c:v>0.56762269189290226</c:v>
                </c:pt>
                <c:pt idx="33">
                  <c:v>0.55667923203372816</c:v>
                </c:pt>
                <c:pt idx="34">
                  <c:v>0.54573577217455405</c:v>
                </c:pt>
                <c:pt idx="35">
                  <c:v>0.53479231231537994</c:v>
                </c:pt>
                <c:pt idx="36">
                  <c:v>0.52384885245620583</c:v>
                </c:pt>
              </c:numCache>
            </c:numRef>
          </c:val>
          <c:smooth val="0"/>
        </c:ser>
        <c:ser>
          <c:idx val="1"/>
          <c:order val="1"/>
          <c:tx>
            <c:strRef>
              <c:f>'Raw data B2DS'!$C$184:$E$184</c:f>
              <c:strCache>
                <c:ptCount val="3"/>
                <c:pt idx="0">
                  <c:v>PLDV manufacturing Scope 2</c:v>
                </c:pt>
              </c:strCache>
            </c:strRef>
          </c:tx>
          <c:spPr>
            <a:ln w="28575" cap="rnd">
              <a:solidFill>
                <a:schemeClr val="bg1">
                  <a:lumMod val="50000"/>
                </a:schemeClr>
              </a:solidFill>
              <a:round/>
            </a:ln>
            <a:effectLst/>
          </c:spPr>
          <c:marker>
            <c:symbol val="none"/>
          </c:marker>
          <c:cat>
            <c:numRef>
              <c:f>'Raw data B2DS'!$F$182:$AP$182</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B2DS'!$F$184:$AP$184</c:f>
              <c:numCache>
                <c:formatCode>#,##0.00</c:formatCode>
                <c:ptCount val="37"/>
                <c:pt idx="0">
                  <c:v>1</c:v>
                </c:pt>
                <c:pt idx="1">
                  <c:v>1.0755618919031487</c:v>
                </c:pt>
                <c:pt idx="2">
                  <c:v>1.0340890462481236</c:v>
                </c:pt>
                <c:pt idx="3">
                  <c:v>0.99261620059309852</c:v>
                </c:pt>
                <c:pt idx="4">
                  <c:v>0.95114335493807356</c:v>
                </c:pt>
                <c:pt idx="5">
                  <c:v>0.90967050928304838</c:v>
                </c:pt>
                <c:pt idx="6">
                  <c:v>0.86819766362802331</c:v>
                </c:pt>
                <c:pt idx="7">
                  <c:v>0.82672481797299835</c:v>
                </c:pt>
                <c:pt idx="8">
                  <c:v>0.78525197231797339</c:v>
                </c:pt>
                <c:pt idx="9">
                  <c:v>0.74377912666294832</c:v>
                </c:pt>
                <c:pt idx="10">
                  <c:v>0.70230628100792336</c:v>
                </c:pt>
                <c:pt idx="11">
                  <c:v>0.66083343535289829</c:v>
                </c:pt>
                <c:pt idx="12">
                  <c:v>0.62247149784343936</c:v>
                </c:pt>
                <c:pt idx="13">
                  <c:v>0.58410956033398043</c:v>
                </c:pt>
                <c:pt idx="14">
                  <c:v>0.54574762282452149</c:v>
                </c:pt>
                <c:pt idx="15">
                  <c:v>0.50738568531506245</c:v>
                </c:pt>
                <c:pt idx="16">
                  <c:v>0.46902374780560346</c:v>
                </c:pt>
                <c:pt idx="17">
                  <c:v>0.43707622892223907</c:v>
                </c:pt>
                <c:pt idx="18">
                  <c:v>0.40512871003887474</c:v>
                </c:pt>
                <c:pt idx="19">
                  <c:v>0.37318119115551035</c:v>
                </c:pt>
                <c:pt idx="20">
                  <c:v>0.34123367227214602</c:v>
                </c:pt>
                <c:pt idx="21">
                  <c:v>0.30928615338878168</c:v>
                </c:pt>
                <c:pt idx="22">
                  <c:v>0.28173923462588429</c:v>
                </c:pt>
                <c:pt idx="23">
                  <c:v>0.25419231586298696</c:v>
                </c:pt>
                <c:pt idx="24">
                  <c:v>0.22664539710008957</c:v>
                </c:pt>
                <c:pt idx="25">
                  <c:v>0.19909847833719221</c:v>
                </c:pt>
                <c:pt idx="26">
                  <c:v>0.17155155957429485</c:v>
                </c:pt>
                <c:pt idx="27">
                  <c:v>0.1474210540502853</c:v>
                </c:pt>
                <c:pt idx="28">
                  <c:v>0.12329054852627575</c:v>
                </c:pt>
                <c:pt idx="29">
                  <c:v>9.9160043002266177E-2</c:v>
                </c:pt>
                <c:pt idx="30">
                  <c:v>7.5029537478256622E-2</c:v>
                </c:pt>
                <c:pt idx="31">
                  <c:v>5.0899031954247075E-2</c:v>
                </c:pt>
                <c:pt idx="32">
                  <c:v>3.6422939614479614E-2</c:v>
                </c:pt>
                <c:pt idx="33">
                  <c:v>2.1946847274712158E-2</c:v>
                </c:pt>
                <c:pt idx="34">
                  <c:v>7.4707549349446976E-3</c:v>
                </c:pt>
                <c:pt idx="35">
                  <c:v>-7.0053374048227616E-3</c:v>
                </c:pt>
                <c:pt idx="36">
                  <c:v>-2.1481429744590209E-2</c:v>
                </c:pt>
              </c:numCache>
            </c:numRef>
          </c:val>
          <c:smooth val="0"/>
        </c:ser>
        <c:ser>
          <c:idx val="2"/>
          <c:order val="2"/>
          <c:tx>
            <c:strRef>
              <c:f>'Raw data B2DS'!$C$185:$E$185</c:f>
              <c:strCache>
                <c:ptCount val="3"/>
                <c:pt idx="0">
                  <c:v>New PLDV sales</c:v>
                </c:pt>
              </c:strCache>
            </c:strRef>
          </c:tx>
          <c:spPr>
            <a:ln w="28575" cap="rnd">
              <a:solidFill>
                <a:srgbClr val="333F50"/>
              </a:solidFill>
              <a:round/>
            </a:ln>
            <a:effectLst/>
          </c:spPr>
          <c:marker>
            <c:symbol val="none"/>
          </c:marker>
          <c:cat>
            <c:numRef>
              <c:f>'Raw data B2DS'!$F$182:$AP$182</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B2DS'!$F$185:$AP$185</c:f>
              <c:numCache>
                <c:formatCode>#,##0.00</c:formatCode>
                <c:ptCount val="37"/>
                <c:pt idx="0">
                  <c:v>1</c:v>
                </c:pt>
                <c:pt idx="1">
                  <c:v>1.0449437065023317</c:v>
                </c:pt>
                <c:pt idx="2">
                  <c:v>1.0566076570531993</c:v>
                </c:pt>
                <c:pt idx="3">
                  <c:v>1.068271607604067</c:v>
                </c:pt>
                <c:pt idx="4">
                  <c:v>1.0799355581549346</c:v>
                </c:pt>
                <c:pt idx="5">
                  <c:v>1.0915995087058024</c:v>
                </c:pt>
                <c:pt idx="6">
                  <c:v>1.1032634592566699</c:v>
                </c:pt>
                <c:pt idx="7">
                  <c:v>1.0998188648572531</c:v>
                </c:pt>
                <c:pt idx="8">
                  <c:v>1.0963742704578363</c:v>
                </c:pt>
                <c:pt idx="9">
                  <c:v>1.0929296760584195</c:v>
                </c:pt>
                <c:pt idx="10">
                  <c:v>1.0894850816590027</c:v>
                </c:pt>
                <c:pt idx="11">
                  <c:v>1.0860404872595859</c:v>
                </c:pt>
                <c:pt idx="12">
                  <c:v>1.1260922501058597</c:v>
                </c:pt>
                <c:pt idx="13">
                  <c:v>1.1661440129521337</c:v>
                </c:pt>
                <c:pt idx="14">
                  <c:v>1.2061957757984074</c:v>
                </c:pt>
                <c:pt idx="15">
                  <c:v>1.2462475386446814</c:v>
                </c:pt>
                <c:pt idx="16">
                  <c:v>1.2862993014909552</c:v>
                </c:pt>
                <c:pt idx="17">
                  <c:v>1.2898147289041786</c:v>
                </c:pt>
                <c:pt idx="18">
                  <c:v>1.293330156317402</c:v>
                </c:pt>
                <c:pt idx="19">
                  <c:v>1.2968455837306252</c:v>
                </c:pt>
                <c:pt idx="20">
                  <c:v>1.3003610111438486</c:v>
                </c:pt>
                <c:pt idx="21">
                  <c:v>1.303876438557072</c:v>
                </c:pt>
                <c:pt idx="22">
                  <c:v>1.3187031503212545</c:v>
                </c:pt>
                <c:pt idx="23">
                  <c:v>1.3335298620854368</c:v>
                </c:pt>
                <c:pt idx="24">
                  <c:v>1.3483565738496193</c:v>
                </c:pt>
                <c:pt idx="25">
                  <c:v>1.3631832856138018</c:v>
                </c:pt>
                <c:pt idx="26">
                  <c:v>1.378009997377984</c:v>
                </c:pt>
                <c:pt idx="27">
                  <c:v>1.4208141945890429</c:v>
                </c:pt>
                <c:pt idx="28">
                  <c:v>1.4636183918001016</c:v>
                </c:pt>
                <c:pt idx="29">
                  <c:v>1.5064225890111604</c:v>
                </c:pt>
                <c:pt idx="30">
                  <c:v>1.5492267862222193</c:v>
                </c:pt>
                <c:pt idx="31">
                  <c:v>1.592030983433278</c:v>
                </c:pt>
                <c:pt idx="32">
                  <c:v>1.595114556554845</c:v>
                </c:pt>
                <c:pt idx="33">
                  <c:v>1.5981981296764121</c:v>
                </c:pt>
                <c:pt idx="34">
                  <c:v>1.6012817027979791</c:v>
                </c:pt>
                <c:pt idx="35">
                  <c:v>1.6043652759195461</c:v>
                </c:pt>
                <c:pt idx="36">
                  <c:v>1.607448849041113</c:v>
                </c:pt>
              </c:numCache>
            </c:numRef>
          </c:val>
          <c:smooth val="0"/>
        </c:ser>
        <c:ser>
          <c:idx val="3"/>
          <c:order val="3"/>
          <c:tx>
            <c:strRef>
              <c:f>'Raw data B2DS'!$C$186:$E$186</c:f>
              <c:strCache>
                <c:ptCount val="3"/>
                <c:pt idx="0">
                  <c:v>PLDV manufacturing Scopes 1 &amp; 2 intensity</c:v>
                </c:pt>
              </c:strCache>
            </c:strRef>
          </c:tx>
          <c:spPr>
            <a:ln w="28575" cap="rnd">
              <a:solidFill>
                <a:srgbClr val="C00000"/>
              </a:solidFill>
              <a:round/>
            </a:ln>
            <a:effectLst/>
          </c:spPr>
          <c:marker>
            <c:symbol val="none"/>
          </c:marker>
          <c:cat>
            <c:numRef>
              <c:f>'Raw data B2DS'!$F$182:$AP$182</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B2DS'!$F$186:$AP$186</c:f>
              <c:numCache>
                <c:formatCode>#,##0.00</c:formatCode>
                <c:ptCount val="37"/>
                <c:pt idx="0">
                  <c:v>1</c:v>
                </c:pt>
                <c:pt idx="1">
                  <c:v>1.0070783812017374</c:v>
                </c:pt>
                <c:pt idx="2">
                  <c:v>0.96312017939013239</c:v>
                </c:pt>
                <c:pt idx="3">
                  <c:v>0.92012189505379471</c:v>
                </c:pt>
                <c:pt idx="4">
                  <c:v>0.8780524251425107</c:v>
                </c:pt>
                <c:pt idx="5">
                  <c:v>0.83688199597434321</c:v>
                </c:pt>
                <c:pt idx="6">
                  <c:v>0.79658209296372506</c:v>
                </c:pt>
                <c:pt idx="7">
                  <c:v>0.76752625568883359</c:v>
                </c:pt>
                <c:pt idx="8">
                  <c:v>0.73828784285184756</c:v>
                </c:pt>
                <c:pt idx="9">
                  <c:v>0.70886512817859082</c:v>
                </c:pt>
                <c:pt idx="10">
                  <c:v>0.67925636356323715</c:v>
                </c:pt>
                <c:pt idx="11">
                  <c:v>0.64945977872209204</c:v>
                </c:pt>
                <c:pt idx="12">
                  <c:v>0.59812166522775434</c:v>
                </c:pt>
                <c:pt idx="13">
                  <c:v>0.55031001488687392</c:v>
                </c:pt>
                <c:pt idx="14">
                  <c:v>0.50567353879077859</c:v>
                </c:pt>
                <c:pt idx="15">
                  <c:v>0.46390610676411187</c:v>
                </c:pt>
                <c:pt idx="16">
                  <c:v>0.42473971678153377</c:v>
                </c:pt>
                <c:pt idx="17">
                  <c:v>0.40496242345262307</c:v>
                </c:pt>
                <c:pt idx="18">
                  <c:v>0.38529264426275617</c:v>
                </c:pt>
                <c:pt idx="19">
                  <c:v>0.36572950487926797</c:v>
                </c:pt>
                <c:pt idx="20">
                  <c:v>0.34627214042426191</c:v>
                </c:pt>
                <c:pt idx="21">
                  <c:v>0.32691969534715337</c:v>
                </c:pt>
                <c:pt idx="22">
                  <c:v>0.30754117846092155</c:v>
                </c:pt>
                <c:pt idx="23">
                  <c:v>0.28859357758558457</c:v>
                </c:pt>
                <c:pt idx="24">
                  <c:v>0.27006267748843915</c:v>
                </c:pt>
                <c:pt idx="25">
                  <c:v>0.25193488138672959</c:v>
                </c:pt>
                <c:pt idx="26">
                  <c:v>0.23419717767655773</c:v>
                </c:pt>
                <c:pt idx="27">
                  <c:v>0.21315051884263109</c:v>
                </c:pt>
                <c:pt idx="28">
                  <c:v>0.19333489856412087</c:v>
                </c:pt>
                <c:pt idx="29">
                  <c:v>0.17464537892224224</c:v>
                </c:pt>
                <c:pt idx="30">
                  <c:v>0.15698861948260837</c:v>
                </c:pt>
                <c:pt idx="31">
                  <c:v>0.1402813182143631</c:v>
                </c:pt>
                <c:pt idx="32">
                  <c:v>0.13165858186821203</c:v>
                </c:pt>
                <c:pt idx="33">
                  <c:v>0.12306911904120432</c:v>
                </c:pt>
                <c:pt idx="34">
                  <c:v>0.11451273750983097</c:v>
                </c:pt>
                <c:pt idx="35">
                  <c:v>0.10598924652838912</c:v>
                </c:pt>
                <c:pt idx="36">
                  <c:v>9.7498456814807802E-2</c:v>
                </c:pt>
              </c:numCache>
            </c:numRef>
          </c:val>
          <c:smooth val="0"/>
        </c:ser>
        <c:dLbls>
          <c:showLegendKey val="0"/>
          <c:showVal val="0"/>
          <c:showCatName val="0"/>
          <c:showSerName val="0"/>
          <c:showPercent val="0"/>
          <c:showBubbleSize val="0"/>
        </c:dLbls>
        <c:smooth val="0"/>
        <c:axId val="617191504"/>
        <c:axId val="617192064"/>
      </c:lineChart>
      <c:catAx>
        <c:axId val="61719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192064"/>
        <c:crosses val="autoZero"/>
        <c:auto val="1"/>
        <c:lblAlgn val="ctr"/>
        <c:lblOffset val="100"/>
        <c:tickLblSkip val="5"/>
        <c:noMultiLvlLbl val="0"/>
      </c:catAx>
      <c:valAx>
        <c:axId val="617192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191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PLDV manufacturing sector data - 2DS (indexed)</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B2DS'!$C$188:$E$188</c:f>
              <c:strCache>
                <c:ptCount val="3"/>
                <c:pt idx="0">
                  <c:v>PLDV manufacturing Scope 1</c:v>
                </c:pt>
              </c:strCache>
            </c:strRef>
          </c:tx>
          <c:spPr>
            <a:ln w="28575" cap="rnd">
              <a:solidFill>
                <a:srgbClr val="EFB300"/>
              </a:solidFill>
              <a:round/>
            </a:ln>
            <a:effectLst/>
          </c:spPr>
          <c:marker>
            <c:symbol val="none"/>
          </c:marker>
          <c:cat>
            <c:numRef>
              <c:f>'Raw data B2DS'!$F$187:$AP$187</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B2DS'!$F$188:$AP$188</c:f>
              <c:numCache>
                <c:formatCode>#,##0.00</c:formatCode>
                <c:ptCount val="37"/>
                <c:pt idx="0">
                  <c:v>1</c:v>
                </c:pt>
                <c:pt idx="1">
                  <c:v>0.98556213238331658</c:v>
                </c:pt>
                <c:pt idx="2">
                  <c:v>0.97112426476663338</c:v>
                </c:pt>
                <c:pt idx="3">
                  <c:v>0.95668639714994996</c:v>
                </c:pt>
                <c:pt idx="4">
                  <c:v>0.94224852953326654</c:v>
                </c:pt>
                <c:pt idx="5">
                  <c:v>0.92781066191658323</c:v>
                </c:pt>
                <c:pt idx="6">
                  <c:v>0.91337279429989982</c:v>
                </c:pt>
                <c:pt idx="7">
                  <c:v>0.89893492668321651</c:v>
                </c:pt>
                <c:pt idx="8">
                  <c:v>0.8844970590665332</c:v>
                </c:pt>
                <c:pt idx="9">
                  <c:v>0.87005919144984978</c:v>
                </c:pt>
                <c:pt idx="10">
                  <c:v>0.85562132383316647</c:v>
                </c:pt>
                <c:pt idx="11">
                  <c:v>0.84118345621648305</c:v>
                </c:pt>
                <c:pt idx="12">
                  <c:v>0.83040405730493949</c:v>
                </c:pt>
                <c:pt idx="13">
                  <c:v>0.81962465839339593</c:v>
                </c:pt>
                <c:pt idx="14">
                  <c:v>0.80884525948185237</c:v>
                </c:pt>
                <c:pt idx="15">
                  <c:v>0.79806586057030882</c:v>
                </c:pt>
                <c:pt idx="16">
                  <c:v>0.78728646165876526</c:v>
                </c:pt>
                <c:pt idx="17">
                  <c:v>0.77703867937087223</c:v>
                </c:pt>
                <c:pt idx="18">
                  <c:v>0.76679089708297921</c:v>
                </c:pt>
                <c:pt idx="19">
                  <c:v>0.75654311479508607</c:v>
                </c:pt>
                <c:pt idx="20">
                  <c:v>0.74629533250719304</c:v>
                </c:pt>
                <c:pt idx="21">
                  <c:v>0.73604755021930013</c:v>
                </c:pt>
                <c:pt idx="22">
                  <c:v>0.72764414238666475</c:v>
                </c:pt>
                <c:pt idx="23">
                  <c:v>0.71924073455402937</c:v>
                </c:pt>
                <c:pt idx="24">
                  <c:v>0.7108373267213941</c:v>
                </c:pt>
                <c:pt idx="25">
                  <c:v>0.70243391888875872</c:v>
                </c:pt>
                <c:pt idx="26">
                  <c:v>0.69403051105612334</c:v>
                </c:pt>
                <c:pt idx="27">
                  <c:v>0.6891571222258468</c:v>
                </c:pt>
                <c:pt idx="28">
                  <c:v>0.68428373339557025</c:v>
                </c:pt>
                <c:pt idx="29">
                  <c:v>0.6794103445652937</c:v>
                </c:pt>
                <c:pt idx="30">
                  <c:v>0.67453695573501704</c:v>
                </c:pt>
                <c:pt idx="31">
                  <c:v>0.66966356690474049</c:v>
                </c:pt>
                <c:pt idx="32">
                  <c:v>0.66160330890457231</c:v>
                </c:pt>
                <c:pt idx="33">
                  <c:v>0.65354305090440401</c:v>
                </c:pt>
                <c:pt idx="34">
                  <c:v>0.64548279290423582</c:v>
                </c:pt>
                <c:pt idx="35">
                  <c:v>0.63742253490406753</c:v>
                </c:pt>
                <c:pt idx="36">
                  <c:v>0.62936227690389934</c:v>
                </c:pt>
              </c:numCache>
            </c:numRef>
          </c:val>
          <c:smooth val="0"/>
        </c:ser>
        <c:ser>
          <c:idx val="1"/>
          <c:order val="1"/>
          <c:tx>
            <c:strRef>
              <c:f>'Raw data B2DS'!$C$189:$E$189</c:f>
              <c:strCache>
                <c:ptCount val="3"/>
                <c:pt idx="0">
                  <c:v>PLDV manufacturing Scope 2</c:v>
                </c:pt>
              </c:strCache>
            </c:strRef>
          </c:tx>
          <c:spPr>
            <a:ln w="28575" cap="rnd">
              <a:solidFill>
                <a:schemeClr val="bg1">
                  <a:lumMod val="50000"/>
                </a:schemeClr>
              </a:solidFill>
              <a:round/>
            </a:ln>
            <a:effectLst/>
          </c:spPr>
          <c:marker>
            <c:symbol val="none"/>
          </c:marker>
          <c:cat>
            <c:numRef>
              <c:f>'Raw data B2DS'!$F$187:$AP$187</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B2DS'!$F$189:$AP$189</c:f>
              <c:numCache>
                <c:formatCode>#,##0.00</c:formatCode>
                <c:ptCount val="37"/>
                <c:pt idx="0">
                  <c:v>1</c:v>
                </c:pt>
                <c:pt idx="1">
                  <c:v>0.97534079564245824</c:v>
                </c:pt>
                <c:pt idx="2">
                  <c:v>0.95068159128491636</c:v>
                </c:pt>
                <c:pt idx="3">
                  <c:v>0.9260223869273746</c:v>
                </c:pt>
                <c:pt idx="4">
                  <c:v>0.90136318256983283</c:v>
                </c:pt>
                <c:pt idx="5">
                  <c:v>0.87670397821229107</c:v>
                </c:pt>
                <c:pt idx="6">
                  <c:v>0.85204477385474919</c:v>
                </c:pt>
                <c:pt idx="7">
                  <c:v>0.82738556949720743</c:v>
                </c:pt>
                <c:pt idx="8">
                  <c:v>0.80272636513966555</c:v>
                </c:pt>
                <c:pt idx="9">
                  <c:v>0.77806716078212379</c:v>
                </c:pt>
                <c:pt idx="10">
                  <c:v>0.75340795642458203</c:v>
                </c:pt>
                <c:pt idx="11">
                  <c:v>0.72874875206704015</c:v>
                </c:pt>
                <c:pt idx="12">
                  <c:v>0.68635648864611254</c:v>
                </c:pt>
                <c:pt idx="13">
                  <c:v>0.64396422522518482</c:v>
                </c:pt>
                <c:pt idx="14">
                  <c:v>0.6015719618042572</c:v>
                </c:pt>
                <c:pt idx="15">
                  <c:v>0.55917969838332959</c:v>
                </c:pt>
                <c:pt idx="16">
                  <c:v>0.51678743496240187</c:v>
                </c:pt>
                <c:pt idx="17">
                  <c:v>0.48079402566310664</c:v>
                </c:pt>
                <c:pt idx="18">
                  <c:v>0.44480061636381141</c:v>
                </c:pt>
                <c:pt idx="19">
                  <c:v>0.40880720706451623</c:v>
                </c:pt>
                <c:pt idx="20">
                  <c:v>0.372813797765221</c:v>
                </c:pt>
                <c:pt idx="21">
                  <c:v>0.33682038846592577</c:v>
                </c:pt>
                <c:pt idx="22">
                  <c:v>0.31644886931688415</c:v>
                </c:pt>
                <c:pt idx="23">
                  <c:v>0.29607735016784253</c:v>
                </c:pt>
                <c:pt idx="24">
                  <c:v>0.27570583101880092</c:v>
                </c:pt>
                <c:pt idx="25">
                  <c:v>0.25533431186975925</c:v>
                </c:pt>
                <c:pt idx="26">
                  <c:v>0.23496279272071763</c:v>
                </c:pt>
                <c:pt idx="27">
                  <c:v>0.21754163259291132</c:v>
                </c:pt>
                <c:pt idx="28">
                  <c:v>0.200120472465105</c:v>
                </c:pt>
                <c:pt idx="29">
                  <c:v>0.18269931233729869</c:v>
                </c:pt>
                <c:pt idx="30">
                  <c:v>0.16527815220949238</c:v>
                </c:pt>
                <c:pt idx="31">
                  <c:v>0.14785699208168609</c:v>
                </c:pt>
                <c:pt idx="32">
                  <c:v>0.13891656846097722</c:v>
                </c:pt>
                <c:pt idx="33">
                  <c:v>0.12997614484026834</c:v>
                </c:pt>
                <c:pt idx="34">
                  <c:v>0.12103572121955948</c:v>
                </c:pt>
                <c:pt idx="35">
                  <c:v>0.1120952975988506</c:v>
                </c:pt>
                <c:pt idx="36">
                  <c:v>0.10315487397814173</c:v>
                </c:pt>
              </c:numCache>
            </c:numRef>
          </c:val>
          <c:smooth val="0"/>
        </c:ser>
        <c:ser>
          <c:idx val="2"/>
          <c:order val="2"/>
          <c:tx>
            <c:strRef>
              <c:f>'Raw data B2DS'!$C$190:$E$190</c:f>
              <c:strCache>
                <c:ptCount val="3"/>
                <c:pt idx="0">
                  <c:v>New PLDV sales</c:v>
                </c:pt>
              </c:strCache>
            </c:strRef>
          </c:tx>
          <c:spPr>
            <a:ln w="28575" cap="rnd">
              <a:solidFill>
                <a:srgbClr val="333F50"/>
              </a:solidFill>
              <a:round/>
            </a:ln>
            <a:effectLst/>
          </c:spPr>
          <c:marker>
            <c:symbol val="none"/>
          </c:marker>
          <c:cat>
            <c:numRef>
              <c:f>'Raw data B2DS'!$F$187:$AP$187</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B2DS'!$F$190:$AP$190</c:f>
              <c:numCache>
                <c:formatCode>#,##0.00</c:formatCode>
                <c:ptCount val="37"/>
                <c:pt idx="0">
                  <c:v>1</c:v>
                </c:pt>
                <c:pt idx="1">
                  <c:v>1.0449437065023317</c:v>
                </c:pt>
                <c:pt idx="2">
                  <c:v>1.0416942172122621</c:v>
                </c:pt>
                <c:pt idx="3">
                  <c:v>1.0384447279221924</c:v>
                </c:pt>
                <c:pt idx="4">
                  <c:v>1.0351952386321228</c:v>
                </c:pt>
                <c:pt idx="5">
                  <c:v>1.0319457493420534</c:v>
                </c:pt>
                <c:pt idx="6">
                  <c:v>1.0286962600519838</c:v>
                </c:pt>
                <c:pt idx="7">
                  <c:v>1.0494863520463411</c:v>
                </c:pt>
                <c:pt idx="8">
                  <c:v>1.0702764440406989</c:v>
                </c:pt>
                <c:pt idx="9">
                  <c:v>1.0910665360350562</c:v>
                </c:pt>
                <c:pt idx="10">
                  <c:v>1.1118566280294138</c:v>
                </c:pt>
                <c:pt idx="11">
                  <c:v>1.1326467200237713</c:v>
                </c:pt>
                <c:pt idx="12">
                  <c:v>1.18122381023984</c:v>
                </c:pt>
                <c:pt idx="13">
                  <c:v>1.229800900455909</c:v>
                </c:pt>
                <c:pt idx="14">
                  <c:v>1.2783779906719774</c:v>
                </c:pt>
                <c:pt idx="15">
                  <c:v>1.3269550808880461</c:v>
                </c:pt>
                <c:pt idx="16">
                  <c:v>1.3755321711041151</c:v>
                </c:pt>
                <c:pt idx="17">
                  <c:v>1.3704681375751293</c:v>
                </c:pt>
                <c:pt idx="18">
                  <c:v>1.3654041040461431</c:v>
                </c:pt>
                <c:pt idx="19">
                  <c:v>1.3603400705171573</c:v>
                </c:pt>
                <c:pt idx="20">
                  <c:v>1.3552760369881713</c:v>
                </c:pt>
                <c:pt idx="21">
                  <c:v>1.3502120034591856</c:v>
                </c:pt>
                <c:pt idx="22">
                  <c:v>1.3625464355231149</c:v>
                </c:pt>
                <c:pt idx="23">
                  <c:v>1.3748808675870441</c:v>
                </c:pt>
                <c:pt idx="24">
                  <c:v>1.3872152996509732</c:v>
                </c:pt>
                <c:pt idx="25">
                  <c:v>1.3995497317149024</c:v>
                </c:pt>
                <c:pt idx="26">
                  <c:v>1.4118841637788317</c:v>
                </c:pt>
                <c:pt idx="27">
                  <c:v>1.4636181141762228</c:v>
                </c:pt>
                <c:pt idx="28">
                  <c:v>1.5153520645736138</c:v>
                </c:pt>
                <c:pt idx="29">
                  <c:v>1.5670860149710049</c:v>
                </c:pt>
                <c:pt idx="30">
                  <c:v>1.6188199653683959</c:v>
                </c:pt>
                <c:pt idx="31">
                  <c:v>1.6705539157657867</c:v>
                </c:pt>
                <c:pt idx="32">
                  <c:v>1.6626522127568224</c:v>
                </c:pt>
                <c:pt idx="33">
                  <c:v>1.6547505097478579</c:v>
                </c:pt>
                <c:pt idx="34">
                  <c:v>1.6468488067388936</c:v>
                </c:pt>
                <c:pt idx="35">
                  <c:v>1.638947103729929</c:v>
                </c:pt>
                <c:pt idx="36">
                  <c:v>1.6310454007209647</c:v>
                </c:pt>
              </c:numCache>
            </c:numRef>
          </c:val>
          <c:smooth val="0"/>
        </c:ser>
        <c:ser>
          <c:idx val="3"/>
          <c:order val="3"/>
          <c:tx>
            <c:strRef>
              <c:f>'Raw data B2DS'!$C$191:$E$191</c:f>
              <c:strCache>
                <c:ptCount val="3"/>
                <c:pt idx="0">
                  <c:v>PLDV manufacturing Scopes 1 &amp; 2 intensity</c:v>
                </c:pt>
              </c:strCache>
            </c:strRef>
          </c:tx>
          <c:spPr>
            <a:ln w="28575" cap="rnd">
              <a:solidFill>
                <a:srgbClr val="C00000"/>
              </a:solidFill>
              <a:round/>
            </a:ln>
            <a:effectLst/>
          </c:spPr>
          <c:marker>
            <c:symbol val="none"/>
          </c:marker>
          <c:cat>
            <c:numRef>
              <c:f>'Raw data B2DS'!$F$187:$AP$187</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B2DS'!$F$191:$AP$191</c:f>
              <c:numCache>
                <c:formatCode>#,##0.00</c:formatCode>
                <c:ptCount val="37"/>
                <c:pt idx="0">
                  <c:v>1</c:v>
                </c:pt>
                <c:pt idx="1">
                  <c:v>1.0070783812017374</c:v>
                </c:pt>
                <c:pt idx="2">
                  <c:v>0.98802956785413709</c:v>
                </c:pt>
                <c:pt idx="3">
                  <c:v>0.96886153985158718</c:v>
                </c:pt>
                <c:pt idx="4">
                  <c:v>0.94957317454573176</c:v>
                </c:pt>
                <c:pt idx="5">
                  <c:v>0.93016333514780414</c:v>
                </c:pt>
                <c:pt idx="6">
                  <c:v>0.91063087050529323</c:v>
                </c:pt>
                <c:pt idx="7">
                  <c:v>0.87056591052592136</c:v>
                </c:pt>
                <c:pt idx="8">
                  <c:v>0.83205747215058778</c:v>
                </c:pt>
                <c:pt idx="9">
                  <c:v>0.79501657759580191</c:v>
                </c:pt>
                <c:pt idx="10">
                  <c:v>0.7593609040954824</c:v>
                </c:pt>
                <c:pt idx="11">
                  <c:v>0.72501417312611705</c:v>
                </c:pt>
                <c:pt idx="12">
                  <c:v>0.6655157180517316</c:v>
                </c:pt>
                <c:pt idx="13">
                  <c:v>0.61071763653991817</c:v>
                </c:pt>
                <c:pt idx="14">
                  <c:v>0.56008410005107978</c:v>
                </c:pt>
                <c:pt idx="15">
                  <c:v>0.51315774235887524</c:v>
                </c:pt>
                <c:pt idx="16">
                  <c:v>0.46954580501831689</c:v>
                </c:pt>
                <c:pt idx="17">
                  <c:v>0.44929243720905282</c:v>
                </c:pt>
                <c:pt idx="18">
                  <c:v>0.42888883734269012</c:v>
                </c:pt>
                <c:pt idx="19">
                  <c:v>0.40833332764719771</c:v>
                </c:pt>
                <c:pt idx="20">
                  <c:v>0.38762420527434288</c:v>
                </c:pt>
                <c:pt idx="21">
                  <c:v>0.36675974182944404</c:v>
                </c:pt>
                <c:pt idx="22">
                  <c:v>0.35028595483533853</c:v>
                </c:pt>
                <c:pt idx="23">
                  <c:v>0.33410774953315231</c:v>
                </c:pt>
                <c:pt idx="24">
                  <c:v>0.31821724142442459</c:v>
                </c:pt>
                <c:pt idx="25">
                  <c:v>0.30260682395954736</c:v>
                </c:pt>
                <c:pt idx="26">
                  <c:v>0.28726915639675099</c:v>
                </c:pt>
                <c:pt idx="27">
                  <c:v>0.26716961642362846</c:v>
                </c:pt>
                <c:pt idx="28">
                  <c:v>0.24844246855434685</c:v>
                </c:pt>
                <c:pt idx="29">
                  <c:v>0.23095179313099143</c:v>
                </c:pt>
                <c:pt idx="30">
                  <c:v>0.2145790452772566</c:v>
                </c:pt>
                <c:pt idx="31">
                  <c:v>0.19922036457495018</c:v>
                </c:pt>
                <c:pt idx="32">
                  <c:v>0.19456052127110393</c:v>
                </c:pt>
                <c:pt idx="33">
                  <c:v>0.18985617494684662</c:v>
                </c:pt>
                <c:pt idx="34">
                  <c:v>0.18510668501577668</c:v>
                </c:pt>
                <c:pt idx="35">
                  <c:v>0.18031139853789452</c:v>
                </c:pt>
                <c:pt idx="36">
                  <c:v>0.17546964992036326</c:v>
                </c:pt>
              </c:numCache>
            </c:numRef>
          </c:val>
          <c:smooth val="0"/>
        </c:ser>
        <c:dLbls>
          <c:showLegendKey val="0"/>
          <c:showVal val="0"/>
          <c:showCatName val="0"/>
          <c:showSerName val="0"/>
          <c:showPercent val="0"/>
          <c:showBubbleSize val="0"/>
        </c:dLbls>
        <c:smooth val="0"/>
        <c:axId val="607827408"/>
        <c:axId val="607827968"/>
      </c:lineChart>
      <c:catAx>
        <c:axId val="60782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827968"/>
        <c:crosses val="autoZero"/>
        <c:auto val="1"/>
        <c:lblAlgn val="ctr"/>
        <c:lblOffset val="100"/>
        <c:tickLblSkip val="5"/>
        <c:noMultiLvlLbl val="0"/>
      </c:catAx>
      <c:valAx>
        <c:axId val="607827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8274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Power sector data - B2DS (indexed)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B2DS'!$C$194:$E$194</c:f>
              <c:strCache>
                <c:ptCount val="3"/>
                <c:pt idx="0">
                  <c:v>Power sector emissions</c:v>
                </c:pt>
              </c:strCache>
            </c:strRef>
          </c:tx>
          <c:spPr>
            <a:ln w="28575" cap="rnd">
              <a:solidFill>
                <a:srgbClr val="EFB300"/>
              </a:solidFill>
              <a:round/>
            </a:ln>
            <a:effectLst/>
          </c:spPr>
          <c:marker>
            <c:symbol val="none"/>
          </c:marker>
          <c:cat>
            <c:numRef>
              <c:f>'Raw data B2DS'!$F$193:$AP$193</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B2DS'!$F$194:$AP$194</c:f>
              <c:numCache>
                <c:formatCode>0.00</c:formatCode>
                <c:ptCount val="37"/>
                <c:pt idx="0">
                  <c:v>1</c:v>
                </c:pt>
                <c:pt idx="1">
                  <c:v>0.97160589296379807</c:v>
                </c:pt>
                <c:pt idx="2">
                  <c:v>0.94321178592759614</c:v>
                </c:pt>
                <c:pt idx="3">
                  <c:v>0.9148176788913942</c:v>
                </c:pt>
                <c:pt idx="4">
                  <c:v>0.88642357185519227</c:v>
                </c:pt>
                <c:pt idx="5">
                  <c:v>0.85802946481899045</c:v>
                </c:pt>
                <c:pt idx="6">
                  <c:v>0.82963535778278852</c:v>
                </c:pt>
                <c:pt idx="7">
                  <c:v>0.80124125074658659</c:v>
                </c:pt>
                <c:pt idx="8">
                  <c:v>0.77284714371038465</c:v>
                </c:pt>
                <c:pt idx="9">
                  <c:v>0.74445303667418272</c:v>
                </c:pt>
                <c:pt idx="10">
                  <c:v>0.71605892963798079</c:v>
                </c:pt>
                <c:pt idx="11">
                  <c:v>0.68766482260177886</c:v>
                </c:pt>
                <c:pt idx="12">
                  <c:v>0.65410539215992669</c:v>
                </c:pt>
                <c:pt idx="13">
                  <c:v>0.62054596171807486</c:v>
                </c:pt>
                <c:pt idx="14">
                  <c:v>0.58698653127622269</c:v>
                </c:pt>
                <c:pt idx="15">
                  <c:v>0.55342710083437063</c:v>
                </c:pt>
                <c:pt idx="16">
                  <c:v>0.51986767039251869</c:v>
                </c:pt>
                <c:pt idx="17">
                  <c:v>0.48574584128563481</c:v>
                </c:pt>
                <c:pt idx="18">
                  <c:v>0.45162401217875098</c:v>
                </c:pt>
                <c:pt idx="19">
                  <c:v>0.41750218307186709</c:v>
                </c:pt>
                <c:pt idx="20">
                  <c:v>0.38338035396498327</c:v>
                </c:pt>
                <c:pt idx="21">
                  <c:v>0.34925852485809938</c:v>
                </c:pt>
                <c:pt idx="22">
                  <c:v>0.31848062542646155</c:v>
                </c:pt>
                <c:pt idx="23">
                  <c:v>0.28770272599482366</c:v>
                </c:pt>
                <c:pt idx="24">
                  <c:v>0.25692482656318583</c:v>
                </c:pt>
                <c:pt idx="25">
                  <c:v>0.22614692713154794</c:v>
                </c:pt>
                <c:pt idx="26">
                  <c:v>0.19536902769991008</c:v>
                </c:pt>
                <c:pt idx="27">
                  <c:v>0.16838563711935453</c:v>
                </c:pt>
                <c:pt idx="28">
                  <c:v>0.14140224653879896</c:v>
                </c:pt>
                <c:pt idx="29">
                  <c:v>0.11441885595824339</c:v>
                </c:pt>
                <c:pt idx="30">
                  <c:v>8.7435465377687843E-2</c:v>
                </c:pt>
                <c:pt idx="31">
                  <c:v>6.0452074797132285E-2</c:v>
                </c:pt>
                <c:pt idx="32">
                  <c:v>4.3140828380470807E-2</c:v>
                </c:pt>
                <c:pt idx="33">
                  <c:v>2.5829581963809311E-2</c:v>
                </c:pt>
                <c:pt idx="34">
                  <c:v>8.5183355471478185E-3</c:v>
                </c:pt>
                <c:pt idx="35">
                  <c:v>-8.7929108695136669E-3</c:v>
                </c:pt>
                <c:pt idx="36">
                  <c:v>-2.6104157286175156E-2</c:v>
                </c:pt>
              </c:numCache>
            </c:numRef>
          </c:val>
          <c:smooth val="0"/>
        </c:ser>
        <c:ser>
          <c:idx val="1"/>
          <c:order val="1"/>
          <c:tx>
            <c:strRef>
              <c:f>'Raw data B2DS'!$C$195:$E$195</c:f>
              <c:strCache>
                <c:ptCount val="3"/>
                <c:pt idx="0">
                  <c:v>Power sector gross generation</c:v>
                </c:pt>
              </c:strCache>
            </c:strRef>
          </c:tx>
          <c:spPr>
            <a:ln w="28575" cap="rnd">
              <a:solidFill>
                <a:srgbClr val="333F50"/>
              </a:solidFill>
              <a:round/>
            </a:ln>
            <a:effectLst/>
          </c:spPr>
          <c:marker>
            <c:symbol val="none"/>
          </c:marker>
          <c:cat>
            <c:numRef>
              <c:f>'Raw data B2DS'!$F$193:$AP$193</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B2DS'!$F$195:$AP$195</c:f>
              <c:numCache>
                <c:formatCode>0.00</c:formatCode>
                <c:ptCount val="37"/>
                <c:pt idx="0">
                  <c:v>1</c:v>
                </c:pt>
                <c:pt idx="1">
                  <c:v>1.0173962709108952</c:v>
                </c:pt>
                <c:pt idx="2">
                  <c:v>1.0347925418217903</c:v>
                </c:pt>
                <c:pt idx="3">
                  <c:v>1.0521888127326855</c:v>
                </c:pt>
                <c:pt idx="4">
                  <c:v>1.0695850836435807</c:v>
                </c:pt>
                <c:pt idx="5">
                  <c:v>1.086981354554476</c:v>
                </c:pt>
                <c:pt idx="6">
                  <c:v>1.1043776254653712</c:v>
                </c:pt>
                <c:pt idx="7">
                  <c:v>1.1217738963762665</c:v>
                </c:pt>
                <c:pt idx="8">
                  <c:v>1.1391701672871615</c:v>
                </c:pt>
                <c:pt idx="9">
                  <c:v>1.1565664381980567</c:v>
                </c:pt>
                <c:pt idx="10">
                  <c:v>1.173962709108952</c:v>
                </c:pt>
                <c:pt idx="11">
                  <c:v>1.1913589800198472</c:v>
                </c:pt>
                <c:pt idx="12">
                  <c:v>1.2130428958715369</c:v>
                </c:pt>
                <c:pt idx="13">
                  <c:v>1.2347268117232268</c:v>
                </c:pt>
                <c:pt idx="14">
                  <c:v>1.2564107275749166</c:v>
                </c:pt>
                <c:pt idx="15">
                  <c:v>1.2780946434266065</c:v>
                </c:pt>
                <c:pt idx="16">
                  <c:v>1.2997785592782962</c:v>
                </c:pt>
                <c:pt idx="17">
                  <c:v>1.3238394702098333</c:v>
                </c:pt>
                <c:pt idx="18">
                  <c:v>1.3479003811413703</c:v>
                </c:pt>
                <c:pt idx="19">
                  <c:v>1.3719612920729074</c:v>
                </c:pt>
                <c:pt idx="20">
                  <c:v>1.3960222030044445</c:v>
                </c:pt>
                <c:pt idx="21">
                  <c:v>1.4200831139359815</c:v>
                </c:pt>
                <c:pt idx="22">
                  <c:v>1.4468729205078137</c:v>
                </c:pt>
                <c:pt idx="23">
                  <c:v>1.4736627270796456</c:v>
                </c:pt>
                <c:pt idx="24">
                  <c:v>1.500452533651478</c:v>
                </c:pt>
                <c:pt idx="25">
                  <c:v>1.52724234022331</c:v>
                </c:pt>
                <c:pt idx="26">
                  <c:v>1.5540321467951423</c:v>
                </c:pt>
                <c:pt idx="27">
                  <c:v>1.58313481300807</c:v>
                </c:pt>
                <c:pt idx="28">
                  <c:v>1.6122374792209977</c:v>
                </c:pt>
                <c:pt idx="29">
                  <c:v>1.6413401454339256</c:v>
                </c:pt>
                <c:pt idx="30">
                  <c:v>1.6704428116468533</c:v>
                </c:pt>
                <c:pt idx="31">
                  <c:v>1.6995454778597807</c:v>
                </c:pt>
                <c:pt idx="32">
                  <c:v>1.7317839146296836</c:v>
                </c:pt>
                <c:pt idx="33">
                  <c:v>1.764022351399587</c:v>
                </c:pt>
                <c:pt idx="34">
                  <c:v>1.7962607881694899</c:v>
                </c:pt>
                <c:pt idx="35">
                  <c:v>1.828499224939393</c:v>
                </c:pt>
                <c:pt idx="36">
                  <c:v>1.8607376617092959</c:v>
                </c:pt>
              </c:numCache>
            </c:numRef>
          </c:val>
          <c:smooth val="0"/>
        </c:ser>
        <c:ser>
          <c:idx val="2"/>
          <c:order val="2"/>
          <c:tx>
            <c:strRef>
              <c:f>'Raw data B2DS'!$C$196:$E$196</c:f>
              <c:strCache>
                <c:ptCount val="3"/>
                <c:pt idx="0">
                  <c:v>Power sector carbon intensity</c:v>
                </c:pt>
              </c:strCache>
            </c:strRef>
          </c:tx>
          <c:spPr>
            <a:ln w="28575" cap="rnd">
              <a:solidFill>
                <a:srgbClr val="C00000"/>
              </a:solidFill>
              <a:round/>
            </a:ln>
            <a:effectLst/>
          </c:spPr>
          <c:marker>
            <c:symbol val="none"/>
          </c:marker>
          <c:cat>
            <c:numRef>
              <c:f>'Raw data B2DS'!$F$193:$AP$193</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cat>
          <c:val>
            <c:numRef>
              <c:f>'Raw data B2DS'!$F$196:$AP$196</c:f>
              <c:numCache>
                <c:formatCode>0.00</c:formatCode>
                <c:ptCount val="37"/>
                <c:pt idx="0">
                  <c:v>1</c:v>
                </c:pt>
                <c:pt idx="1">
                  <c:v>0.96156458404641876</c:v>
                </c:pt>
                <c:pt idx="2">
                  <c:v>0.92312916809283752</c:v>
                </c:pt>
                <c:pt idx="3">
                  <c:v>0.88469375213925627</c:v>
                </c:pt>
                <c:pt idx="4">
                  <c:v>0.84625833618567503</c:v>
                </c:pt>
                <c:pt idx="5">
                  <c:v>0.80782292023209379</c:v>
                </c:pt>
                <c:pt idx="6">
                  <c:v>0.76938750427851255</c:v>
                </c:pt>
                <c:pt idx="7">
                  <c:v>0.7309520883249313</c:v>
                </c:pt>
                <c:pt idx="8">
                  <c:v>0.69251667237135006</c:v>
                </c:pt>
                <c:pt idx="9">
                  <c:v>0.65408125641776882</c:v>
                </c:pt>
                <c:pt idx="10">
                  <c:v>0.61564584046418758</c:v>
                </c:pt>
                <c:pt idx="11">
                  <c:v>0.57721042451060622</c:v>
                </c:pt>
                <c:pt idx="12">
                  <c:v>0.5417616071818746</c:v>
                </c:pt>
                <c:pt idx="13">
                  <c:v>0.5063127898531431</c:v>
                </c:pt>
                <c:pt idx="14">
                  <c:v>0.47086397252441159</c:v>
                </c:pt>
                <c:pt idx="15">
                  <c:v>0.43541515519568008</c:v>
                </c:pt>
                <c:pt idx="16">
                  <c:v>0.39996633786694852</c:v>
                </c:pt>
                <c:pt idx="17">
                  <c:v>0.36916153277588143</c:v>
                </c:pt>
                <c:pt idx="18">
                  <c:v>0.33835672768481434</c:v>
                </c:pt>
                <c:pt idx="19">
                  <c:v>0.3075519225937472</c:v>
                </c:pt>
                <c:pt idx="20">
                  <c:v>0.27674711750268011</c:v>
                </c:pt>
                <c:pt idx="21">
                  <c:v>0.24594231241161302</c:v>
                </c:pt>
                <c:pt idx="22">
                  <c:v>0.22189734880771667</c:v>
                </c:pt>
                <c:pt idx="23">
                  <c:v>0.19785238520382034</c:v>
                </c:pt>
                <c:pt idx="24">
                  <c:v>0.17380742159992399</c:v>
                </c:pt>
                <c:pt idx="25">
                  <c:v>0.14976245799602764</c:v>
                </c:pt>
                <c:pt idx="26">
                  <c:v>0.12571749439213131</c:v>
                </c:pt>
                <c:pt idx="27">
                  <c:v>0.10768790633099709</c:v>
                </c:pt>
                <c:pt idx="28">
                  <c:v>8.9658318269862855E-2</c:v>
                </c:pt>
                <c:pt idx="29">
                  <c:v>7.1628730208728633E-2</c:v>
                </c:pt>
                <c:pt idx="30">
                  <c:v>5.3599142147594411E-2</c:v>
                </c:pt>
                <c:pt idx="31">
                  <c:v>3.5569554086460176E-2</c:v>
                </c:pt>
                <c:pt idx="32">
                  <c:v>2.5649857389368667E-2</c:v>
                </c:pt>
                <c:pt idx="33">
                  <c:v>1.5730160692277163E-2</c:v>
                </c:pt>
                <c:pt idx="34">
                  <c:v>5.8104639951856553E-3</c:v>
                </c:pt>
                <c:pt idx="35">
                  <c:v>-4.1092327019058546E-3</c:v>
                </c:pt>
                <c:pt idx="36">
                  <c:v>-1.4028929398997364E-2</c:v>
                </c:pt>
              </c:numCache>
            </c:numRef>
          </c:val>
          <c:smooth val="0"/>
        </c:ser>
        <c:dLbls>
          <c:showLegendKey val="0"/>
          <c:showVal val="0"/>
          <c:showCatName val="0"/>
          <c:showSerName val="0"/>
          <c:showPercent val="0"/>
          <c:showBubbleSize val="0"/>
        </c:dLbls>
        <c:smooth val="0"/>
        <c:axId val="607831888"/>
        <c:axId val="294557392"/>
      </c:lineChart>
      <c:catAx>
        <c:axId val="60783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4557392"/>
        <c:crosses val="autoZero"/>
        <c:auto val="1"/>
        <c:lblAlgn val="ctr"/>
        <c:lblOffset val="100"/>
        <c:tickLblSkip val="5"/>
        <c:noMultiLvlLbl val="0"/>
      </c:catAx>
      <c:valAx>
        <c:axId val="2945573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83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Graphs!$B$4</c:f>
          <c:strCache>
            <c:ptCount val="1"/>
            <c:pt idx="0">
              <c:v>Carbon intensity (B2DS) | Scope 1</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smoothMarker"/>
        <c:varyColors val="0"/>
        <c:ser>
          <c:idx val="0"/>
          <c:order val="1"/>
          <c:tx>
            <c:strRef>
              <c:f>Graphs!$B$9</c:f>
              <c:strCache>
                <c:ptCount val="1"/>
                <c:pt idx="0">
                  <c:v>Company S1 carbon intensity</c:v>
                </c:pt>
              </c:strCache>
            </c:strRef>
          </c:tx>
          <c:spPr>
            <a:ln w="19050" cap="rnd">
              <a:solidFill>
                <a:srgbClr val="333F50"/>
              </a:solidFill>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Graphs!$C$9:$G$9</c:f>
              <c:numCache>
                <c:formatCode>#,##0.00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294562432"/>
        <c:axId val="294562992"/>
      </c:scatterChart>
      <c:scatterChart>
        <c:scatterStyle val="lineMarker"/>
        <c:varyColors val="0"/>
        <c:ser>
          <c:idx val="1"/>
          <c:order val="0"/>
          <c:tx>
            <c:strRef>
              <c:f>Graphs!$B$12</c:f>
              <c:strCache>
                <c:ptCount val="1"/>
                <c:pt idx="0">
                  <c:v>Sector S1 carbon intensity</c:v>
                </c:pt>
              </c:strCache>
            </c:strRef>
          </c:tx>
          <c:spPr>
            <a:ln w="19050" cap="rnd">
              <a:solidFill>
                <a:srgbClr val="EFB300"/>
              </a:solidFill>
              <a:prstDash val="sysDot"/>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Graphs!$C$12:$G$12</c:f>
              <c:numCache>
                <c:formatCode>0.00</c:formatCode>
                <c:ptCount val="5"/>
                <c:pt idx="0">
                  <c:v>0</c:v>
                </c:pt>
                <c:pt idx="1">
                  <c:v>205.14770452126061</c:v>
                </c:pt>
                <c:pt idx="2">
                  <c:v>137.83795664268592</c:v>
                </c:pt>
                <c:pt idx="3">
                  <c:v>115.63365757423693</c:v>
                </c:pt>
                <c:pt idx="4">
                  <c:v>81.884852551805068</c:v>
                </c:pt>
              </c:numCache>
            </c:numRef>
          </c:yVal>
          <c:smooth val="0"/>
        </c:ser>
        <c:ser>
          <c:idx val="2"/>
          <c:order val="2"/>
          <c:tx>
            <c:strRef>
              <c:f>Graphs!$B$15</c:f>
              <c:strCache>
                <c:ptCount val="1"/>
                <c:pt idx="0">
                  <c:v>S1 target</c:v>
                </c:pt>
              </c:strCache>
            </c:strRef>
          </c:tx>
          <c:spPr>
            <a:ln w="25400" cap="rnd">
              <a:noFill/>
              <a:round/>
            </a:ln>
            <a:effectLst/>
          </c:spPr>
          <c:marker>
            <c:symbol val="circle"/>
            <c:size val="5"/>
            <c:spPr>
              <a:solidFill>
                <a:srgbClr val="C00000"/>
              </a:solidFill>
              <a:ln w="9525">
                <a:solidFill>
                  <a:schemeClr val="accent4">
                    <a:tint val="65000"/>
                  </a:schemeClr>
                </a:solidFill>
              </a:ln>
              <a:effectLst/>
            </c:spPr>
          </c:marker>
          <c:dLbls>
            <c:dLbl>
              <c:idx val="0"/>
              <c:layout>
                <c:manualLayout>
                  <c:x val="4.6201928621294429E-3"/>
                  <c:y val="6.9621176741462662E-2"/>
                </c:manualLayout>
              </c:layout>
              <c:showLegendKey val="0"/>
              <c:showVal val="0"/>
              <c:showCatName val="0"/>
              <c:showSerName val="1"/>
              <c:showPercent val="0"/>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Graphs!$I$7</c:f>
              <c:numCache>
                <c:formatCode>General</c:formatCode>
                <c:ptCount val="1"/>
                <c:pt idx="0">
                  <c:v>0</c:v>
                </c:pt>
              </c:numCache>
            </c:numRef>
          </c:xVal>
          <c:yVal>
            <c:numRef>
              <c:f>Graphs!$I$15</c:f>
              <c:numCache>
                <c:formatCode>#,##0.00</c:formatCode>
                <c:ptCount val="1"/>
                <c:pt idx="0">
                  <c:v>0</c:v>
                </c:pt>
              </c:numCache>
            </c:numRef>
          </c:yVal>
          <c:smooth val="0"/>
        </c:ser>
        <c:ser>
          <c:idx val="5"/>
          <c:order val="3"/>
          <c:tx>
            <c:strRef>
              <c:f>Graphs!$B$16</c:f>
              <c:strCache>
                <c:ptCount val="1"/>
                <c:pt idx="0">
                  <c:v>S2 target</c:v>
                </c:pt>
              </c:strCache>
            </c:strRef>
          </c:tx>
          <c:spPr>
            <a:ln w="25400" cap="rnd">
              <a:noFill/>
              <a:round/>
            </a:ln>
            <a:effectLst/>
          </c:spPr>
          <c:marker>
            <c:symbol val="triangle"/>
            <c:size val="4"/>
            <c:spPr>
              <a:solidFill>
                <a:srgbClr val="C00000"/>
              </a:solidFill>
              <a:ln w="9525">
                <a:solidFill>
                  <a:srgbClr val="C00000"/>
                </a:solidFill>
              </a:ln>
              <a:effectLst/>
            </c:spPr>
          </c:marker>
          <c:xVal>
            <c:numRef>
              <c:f>Graphs!$I$7</c:f>
              <c:numCache>
                <c:formatCode>General</c:formatCode>
                <c:ptCount val="1"/>
                <c:pt idx="0">
                  <c:v>0</c:v>
                </c:pt>
              </c:numCache>
            </c:numRef>
          </c:xVal>
          <c:yVal>
            <c:numRef>
              <c:f>Graphs!$I$16</c:f>
              <c:numCache>
                <c:formatCode>#,##0.00</c:formatCode>
                <c:ptCount val="1"/>
                <c:pt idx="0">
                  <c:v>0</c:v>
                </c:pt>
              </c:numCache>
            </c:numRef>
          </c:yVal>
          <c:smooth val="0"/>
        </c:ser>
        <c:dLbls>
          <c:showLegendKey val="0"/>
          <c:showVal val="0"/>
          <c:showCatName val="0"/>
          <c:showSerName val="0"/>
          <c:showPercent val="0"/>
          <c:showBubbleSize val="0"/>
        </c:dLbls>
        <c:axId val="294562432"/>
        <c:axId val="294562992"/>
      </c:scatterChart>
      <c:valAx>
        <c:axId val="294562432"/>
        <c:scaling>
          <c:orientation val="minMax"/>
          <c:max val="2050"/>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4562992"/>
        <c:crosses val="autoZero"/>
        <c:crossBetween val="midCat"/>
        <c:majorUnit val="10"/>
      </c:valAx>
      <c:valAx>
        <c:axId val="294562992"/>
        <c:scaling>
          <c:orientation val="minMax"/>
        </c:scaling>
        <c:delete val="0"/>
        <c:axPos val="l"/>
        <c:majorGridlines>
          <c:spPr>
            <a:ln w="9525" cap="flat" cmpd="sng" algn="ctr">
              <a:solidFill>
                <a:schemeClr val="tx1">
                  <a:lumMod val="15000"/>
                  <a:lumOff val="85000"/>
                </a:schemeClr>
              </a:solidFill>
              <a:round/>
            </a:ln>
            <a:effectLst/>
          </c:spPr>
        </c:majorGridlines>
        <c:title>
          <c:tx>
            <c:strRef>
              <c:f>Tool!$D$23</c:f>
              <c:strCache>
                <c:ptCount val="1"/>
                <c:pt idx="0">
                  <c:v>kCO2/vehicle</c:v>
                </c:pt>
              </c:strCache>
            </c:strRef>
          </c:tx>
          <c:layout>
            <c:manualLayout>
              <c:xMode val="edge"/>
              <c:yMode val="edge"/>
              <c:x val="1.1543024363695762E-2"/>
              <c:y val="0.298311210053642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4562432"/>
        <c:crosses val="autoZero"/>
        <c:crossBetween val="midCat"/>
      </c:valAx>
      <c:spPr>
        <a:noFill/>
        <a:ln>
          <a:noFill/>
        </a:ln>
        <a:effectLst/>
      </c:spPr>
    </c:plotArea>
    <c:legend>
      <c:legendPos val="b"/>
      <c:legendEntry>
        <c:idx val="3"/>
        <c:delete val="1"/>
      </c:legendEntry>
      <c:layout>
        <c:manualLayout>
          <c:xMode val="edge"/>
          <c:yMode val="edge"/>
          <c:x val="9.3963692038495195E-2"/>
          <c:y val="0.89882411715581012"/>
          <c:w val="0.85142082239720041"/>
          <c:h val="9.78604947108884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Graphs!$B$6</c:f>
          <c:strCache>
            <c:ptCount val="1"/>
            <c:pt idx="0">
              <c:v>Carbon intensity (B2DS) | Scopes 1 &amp; Scope 2</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383860902363682"/>
          <c:y val="0.11207364860649312"/>
          <c:w val="0.80762626495969336"/>
          <c:h val="0.6819588602561043"/>
        </c:manualLayout>
      </c:layout>
      <c:scatterChart>
        <c:scatterStyle val="smoothMarker"/>
        <c:varyColors val="0"/>
        <c:ser>
          <c:idx val="0"/>
          <c:order val="0"/>
          <c:tx>
            <c:strRef>
              <c:f>Graphs!$B$8</c:f>
              <c:strCache>
                <c:ptCount val="1"/>
                <c:pt idx="0">
                  <c:v>Company S1&amp;S2 carbon intensity</c:v>
                </c:pt>
              </c:strCache>
            </c:strRef>
          </c:tx>
          <c:spPr>
            <a:ln w="19050" cap="rnd">
              <a:solidFill>
                <a:srgbClr val="333F50"/>
              </a:solidFill>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Graphs!$C$8:$G$8</c:f>
              <c:numCache>
                <c:formatCode>#,##0.00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359681856"/>
        <c:axId val="359682416"/>
      </c:scatterChart>
      <c:scatterChart>
        <c:scatterStyle val="lineMarker"/>
        <c:varyColors val="0"/>
        <c:ser>
          <c:idx val="1"/>
          <c:order val="1"/>
          <c:tx>
            <c:strRef>
              <c:f>Graphs!$B$11</c:f>
              <c:strCache>
                <c:ptCount val="1"/>
                <c:pt idx="0">
                  <c:v>Sector S1&amp;S2 carbon intensity</c:v>
                </c:pt>
              </c:strCache>
            </c:strRef>
          </c:tx>
          <c:spPr>
            <a:ln w="19050" cap="rnd">
              <a:solidFill>
                <a:srgbClr val="EFB300"/>
              </a:solidFill>
              <a:prstDash val="sysDot"/>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Graphs!$C$11:$G$11</c:f>
              <c:numCache>
                <c:formatCode>#,##0.00</c:formatCode>
                <c:ptCount val="5"/>
                <c:pt idx="0">
                  <c:v>0</c:v>
                </c:pt>
                <c:pt idx="1">
                  <c:v>612.49773768263071</c:v>
                </c:pt>
                <c:pt idx="2">
                  <c:v>326.58544289483245</c:v>
                </c:pt>
                <c:pt idx="3">
                  <c:v>180.07590525271945</c:v>
                </c:pt>
                <c:pt idx="4">
                  <c:v>74.967269229509128</c:v>
                </c:pt>
              </c:numCache>
            </c:numRef>
          </c:yVal>
          <c:smooth val="0"/>
        </c:ser>
        <c:ser>
          <c:idx val="2"/>
          <c:order val="2"/>
          <c:tx>
            <c:strRef>
              <c:f>Graphs!$B$17</c:f>
              <c:strCache>
                <c:ptCount val="1"/>
                <c:pt idx="0">
                  <c:v>S1&amp;S2 target</c:v>
                </c:pt>
              </c:strCache>
            </c:strRef>
          </c:tx>
          <c:spPr>
            <a:ln w="25400" cap="rnd">
              <a:noFill/>
              <a:round/>
            </a:ln>
            <a:effectLst/>
          </c:spPr>
          <c:marker>
            <c:symbol val="circle"/>
            <c:size val="5"/>
            <c:spPr>
              <a:solidFill>
                <a:srgbClr val="C00000"/>
              </a:solidFill>
              <a:ln w="9525">
                <a:solidFill>
                  <a:schemeClr val="accent4">
                    <a:tint val="65000"/>
                  </a:schemeClr>
                </a:solidFill>
              </a:ln>
              <a:effectLst/>
            </c:spPr>
          </c:marker>
          <c:dLbls>
            <c:dLbl>
              <c:idx val="0"/>
              <c:layout>
                <c:manualLayout>
                  <c:x val="-9.2403857242589708E-3"/>
                  <c:y val="-6.2990588480370979E-2"/>
                </c:manualLayout>
              </c:layout>
              <c:showLegendKey val="0"/>
              <c:showVal val="0"/>
              <c:showCatName val="0"/>
              <c:showSerName val="1"/>
              <c:showPercent val="0"/>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Graphs!$I$7</c:f>
              <c:numCache>
                <c:formatCode>General</c:formatCode>
                <c:ptCount val="1"/>
                <c:pt idx="0">
                  <c:v>0</c:v>
                </c:pt>
              </c:numCache>
            </c:numRef>
          </c:xVal>
          <c:yVal>
            <c:numRef>
              <c:f>Graphs!$I$17</c:f>
              <c:numCache>
                <c:formatCode>#,##0.00</c:formatCode>
                <c:ptCount val="1"/>
                <c:pt idx="0">
                  <c:v>0</c:v>
                </c:pt>
              </c:numCache>
            </c:numRef>
          </c:yVal>
          <c:smooth val="0"/>
        </c:ser>
        <c:dLbls>
          <c:showLegendKey val="0"/>
          <c:showVal val="0"/>
          <c:showCatName val="0"/>
          <c:showSerName val="0"/>
          <c:showPercent val="0"/>
          <c:showBubbleSize val="0"/>
        </c:dLbls>
        <c:axId val="359681856"/>
        <c:axId val="359682416"/>
      </c:scatterChart>
      <c:valAx>
        <c:axId val="359681856"/>
        <c:scaling>
          <c:orientation val="minMax"/>
          <c:max val="2050"/>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682416"/>
        <c:crosses val="autoZero"/>
        <c:crossBetween val="midCat"/>
        <c:majorUnit val="10"/>
      </c:valAx>
      <c:valAx>
        <c:axId val="359682416"/>
        <c:scaling>
          <c:orientation val="minMax"/>
        </c:scaling>
        <c:delete val="0"/>
        <c:axPos val="l"/>
        <c:majorGridlines>
          <c:spPr>
            <a:ln w="9525" cap="flat" cmpd="sng" algn="ctr">
              <a:solidFill>
                <a:schemeClr val="tx1">
                  <a:lumMod val="15000"/>
                  <a:lumOff val="85000"/>
                </a:schemeClr>
              </a:solidFill>
              <a:round/>
            </a:ln>
            <a:effectLst/>
          </c:spPr>
        </c:majorGridlines>
        <c:title>
          <c:tx>
            <c:strRef>
              <c:f>Tool!$D$23</c:f>
              <c:strCache>
                <c:ptCount val="1"/>
                <c:pt idx="0">
                  <c:v>kCO2/vehicle</c:v>
                </c:pt>
              </c:strCache>
            </c:strRef>
          </c:tx>
          <c:layout>
            <c:manualLayout>
              <c:xMode val="edge"/>
              <c:yMode val="edge"/>
              <c:x val="9.2329279326310403E-3"/>
              <c:y val="0.301626504184188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681856"/>
        <c:crosses val="autoZero"/>
        <c:crossBetween val="midCat"/>
      </c:valAx>
      <c:spPr>
        <a:noFill/>
        <a:ln>
          <a:noFill/>
        </a:ln>
        <a:effectLst/>
      </c:spPr>
    </c:plotArea>
    <c:legend>
      <c:legendPos val="b"/>
      <c:layout>
        <c:manualLayout>
          <c:xMode val="edge"/>
          <c:yMode val="edge"/>
          <c:x val="4.4572834645669288E-2"/>
          <c:y val="0.88113666189453588"/>
          <c:w val="0.93549146981627296"/>
          <c:h val="0.100382267557464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Graphs!$B$5</c:f>
          <c:strCache>
            <c:ptCount val="1"/>
            <c:pt idx="0">
              <c:v>Carbon intensity (B2DS) | Scope 2</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4"/>
          <c:order val="0"/>
          <c:tx>
            <c:strRef>
              <c:f>Graphs!$B$10</c:f>
              <c:strCache>
                <c:ptCount val="1"/>
                <c:pt idx="0">
                  <c:v>Company S2 carbon intensity</c:v>
                </c:pt>
              </c:strCache>
            </c:strRef>
          </c:tx>
          <c:spPr>
            <a:ln w="19050" cap="rnd">
              <a:solidFill>
                <a:srgbClr val="333F50"/>
              </a:solidFill>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Graphs!$C$10:$G$10</c:f>
              <c:numCache>
                <c:formatCode>#,##0.00</c:formatCode>
                <c:ptCount val="5"/>
                <c:pt idx="0">
                  <c:v>0</c:v>
                </c:pt>
                <c:pt idx="1">
                  <c:v>0</c:v>
                </c:pt>
                <c:pt idx="2">
                  <c:v>0</c:v>
                </c:pt>
                <c:pt idx="3">
                  <c:v>0</c:v>
                </c:pt>
                <c:pt idx="4">
                  <c:v>0</c:v>
                </c:pt>
              </c:numCache>
            </c:numRef>
          </c:yVal>
          <c:smooth val="0"/>
        </c:ser>
        <c:ser>
          <c:idx val="3"/>
          <c:order val="1"/>
          <c:tx>
            <c:strRef>
              <c:f>Graphs!$B$13</c:f>
              <c:strCache>
                <c:ptCount val="1"/>
                <c:pt idx="0">
                  <c:v>Sector S2 carbon intensity</c:v>
                </c:pt>
              </c:strCache>
            </c:strRef>
          </c:tx>
          <c:spPr>
            <a:ln w="19050" cap="rnd">
              <a:solidFill>
                <a:srgbClr val="EFB300"/>
              </a:solidFill>
              <a:prstDash val="sysDot"/>
              <a:round/>
            </a:ln>
            <a:effectLst/>
          </c:spPr>
          <c:marker>
            <c:symbol val="none"/>
          </c:marker>
          <c:xVal>
            <c:numRef>
              <c:f>Graphs!$C$7:$G$7</c:f>
              <c:numCache>
                <c:formatCode>General</c:formatCode>
                <c:ptCount val="5"/>
                <c:pt idx="0">
                  <c:v>0</c:v>
                </c:pt>
                <c:pt idx="1">
                  <c:v>2020</c:v>
                </c:pt>
                <c:pt idx="2">
                  <c:v>2030</c:v>
                </c:pt>
                <c:pt idx="3">
                  <c:v>2040</c:v>
                </c:pt>
                <c:pt idx="4">
                  <c:v>2050</c:v>
                </c:pt>
              </c:numCache>
            </c:numRef>
          </c:xVal>
          <c:yVal>
            <c:numRef>
              <c:f>Graphs!$C$13:$G$13</c:f>
              <c:numCache>
                <c:formatCode>0.00</c:formatCode>
                <c:ptCount val="5"/>
                <c:pt idx="0">
                  <c:v>0</c:v>
                </c:pt>
                <c:pt idx="1">
                  <c:v>407.35003316137016</c:v>
                </c:pt>
                <c:pt idx="2">
                  <c:v>188.7474862521465</c:v>
                </c:pt>
                <c:pt idx="3">
                  <c:v>64.442247678482516</c:v>
                </c:pt>
                <c:pt idx="4">
                  <c:v>-6.9175833222959371</c:v>
                </c:pt>
              </c:numCache>
            </c:numRef>
          </c:yVal>
          <c:smooth val="0"/>
        </c:ser>
        <c:ser>
          <c:idx val="2"/>
          <c:order val="2"/>
          <c:tx>
            <c:strRef>
              <c:f>Graphs!$B$15</c:f>
              <c:strCache>
                <c:ptCount val="1"/>
                <c:pt idx="0">
                  <c:v>S1 target</c:v>
                </c:pt>
              </c:strCache>
            </c:strRef>
          </c:tx>
          <c:spPr>
            <a:ln w="25400" cap="rnd">
              <a:noFill/>
              <a:round/>
            </a:ln>
            <a:effectLst/>
          </c:spPr>
          <c:marker>
            <c:symbol val="circle"/>
            <c:size val="5"/>
            <c:spPr>
              <a:solidFill>
                <a:srgbClr val="C00000"/>
              </a:solidFill>
              <a:ln w="9525">
                <a:solidFill>
                  <a:schemeClr val="accent4">
                    <a:tint val="65000"/>
                  </a:schemeClr>
                </a:solidFill>
              </a:ln>
              <a:effectLst/>
            </c:spPr>
          </c:marker>
          <c:xVal>
            <c:numRef>
              <c:f>Graphs!$I$7</c:f>
              <c:numCache>
                <c:formatCode>General</c:formatCode>
                <c:ptCount val="1"/>
                <c:pt idx="0">
                  <c:v>0</c:v>
                </c:pt>
              </c:numCache>
            </c:numRef>
          </c:xVal>
          <c:yVal>
            <c:numRef>
              <c:f>Graphs!$I$15</c:f>
              <c:numCache>
                <c:formatCode>#,##0.00</c:formatCode>
                <c:ptCount val="1"/>
                <c:pt idx="0">
                  <c:v>0</c:v>
                </c:pt>
              </c:numCache>
            </c:numRef>
          </c:yVal>
          <c:smooth val="0"/>
        </c:ser>
        <c:ser>
          <c:idx val="5"/>
          <c:order val="3"/>
          <c:tx>
            <c:strRef>
              <c:f>Graphs!$B$16</c:f>
              <c:strCache>
                <c:ptCount val="1"/>
                <c:pt idx="0">
                  <c:v>S2 target</c:v>
                </c:pt>
              </c:strCache>
            </c:strRef>
          </c:tx>
          <c:spPr>
            <a:ln w="25400" cap="rnd">
              <a:noFill/>
              <a:round/>
            </a:ln>
            <a:effectLst/>
          </c:spPr>
          <c:marker>
            <c:symbol val="triangle"/>
            <c:size val="4"/>
            <c:spPr>
              <a:solidFill>
                <a:srgbClr val="C00000"/>
              </a:solidFill>
              <a:ln w="9525">
                <a:solidFill>
                  <a:srgbClr val="C00000"/>
                </a:solidFill>
              </a:ln>
              <a:effectLst/>
            </c:spPr>
          </c:marker>
          <c:dLbls>
            <c:dLbl>
              <c:idx val="0"/>
              <c:layout>
                <c:manualLayout>
                  <c:x val="9.2403857242588025E-3"/>
                  <c:y val="-5.9675294349825138E-2"/>
                </c:manualLayout>
              </c:layout>
              <c:showLegendKey val="0"/>
              <c:showVal val="0"/>
              <c:showCatName val="0"/>
              <c:showSerName val="1"/>
              <c:showPercent val="0"/>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Graphs!$I$7</c:f>
              <c:numCache>
                <c:formatCode>General</c:formatCode>
                <c:ptCount val="1"/>
                <c:pt idx="0">
                  <c:v>0</c:v>
                </c:pt>
              </c:numCache>
            </c:numRef>
          </c:xVal>
          <c:yVal>
            <c:numRef>
              <c:f>Graphs!$I$16</c:f>
              <c:numCache>
                <c:formatCode>#,##0.00</c:formatCode>
                <c:ptCount val="1"/>
                <c:pt idx="0">
                  <c:v>0</c:v>
                </c:pt>
              </c:numCache>
            </c:numRef>
          </c:yVal>
          <c:smooth val="0"/>
        </c:ser>
        <c:dLbls>
          <c:showLegendKey val="0"/>
          <c:showVal val="0"/>
          <c:showCatName val="0"/>
          <c:showSerName val="0"/>
          <c:showPercent val="0"/>
          <c:showBubbleSize val="0"/>
        </c:dLbls>
        <c:axId val="359686896"/>
        <c:axId val="359687456"/>
      </c:scatterChart>
      <c:valAx>
        <c:axId val="359686896"/>
        <c:scaling>
          <c:orientation val="minMax"/>
          <c:max val="2050"/>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687456"/>
        <c:crosses val="autoZero"/>
        <c:crossBetween val="midCat"/>
        <c:majorUnit val="10"/>
      </c:valAx>
      <c:valAx>
        <c:axId val="359687456"/>
        <c:scaling>
          <c:orientation val="minMax"/>
        </c:scaling>
        <c:delete val="0"/>
        <c:axPos val="l"/>
        <c:majorGridlines>
          <c:spPr>
            <a:ln w="9525" cap="flat" cmpd="sng" algn="ctr">
              <a:solidFill>
                <a:schemeClr val="tx1">
                  <a:lumMod val="15000"/>
                  <a:lumOff val="85000"/>
                </a:schemeClr>
              </a:solidFill>
              <a:round/>
            </a:ln>
            <a:effectLst/>
          </c:spPr>
        </c:majorGridlines>
        <c:title>
          <c:tx>
            <c:strRef>
              <c:f>Tool!$D$23</c:f>
              <c:strCache>
                <c:ptCount val="1"/>
                <c:pt idx="0">
                  <c:v>kCO2/vehicle</c:v>
                </c:pt>
              </c:strCache>
            </c:strRef>
          </c:tx>
          <c:layout>
            <c:manualLayout>
              <c:xMode val="edge"/>
              <c:yMode val="edge"/>
              <c:x val="1.1543024363695762E-2"/>
              <c:y val="0.298311210053642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686896"/>
        <c:crosses val="autoZero"/>
        <c:crossBetween val="midCat"/>
      </c:valAx>
      <c:spPr>
        <a:noFill/>
        <a:ln>
          <a:noFill/>
        </a:ln>
        <a:effectLst/>
      </c:spPr>
    </c:plotArea>
    <c:legend>
      <c:legendPos val="b"/>
      <c:legendEntry>
        <c:idx val="2"/>
        <c:delete val="1"/>
      </c:legendEntry>
      <c:layout>
        <c:manualLayout>
          <c:xMode val="edge"/>
          <c:yMode val="edge"/>
          <c:x val="7.7297025371828504E-2"/>
          <c:y val="0.89582637397598031"/>
          <c:w val="0.88197637795275585"/>
          <c:h val="9.359291736260241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OEM data projections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OLD'!$B$16</c:f>
              <c:strCache>
                <c:ptCount val="1"/>
                <c:pt idx="0">
                  <c:v>SCOPE 1 CO2 intensity OEM average  (kg CO2/car)</c:v>
                </c:pt>
              </c:strCache>
            </c:strRef>
          </c:tx>
          <c:spPr>
            <a:ln w="28575" cap="rnd">
              <a:solidFill>
                <a:schemeClr val="accent1"/>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OLD'!$E$16:$AQ$16</c:f>
              <c:numCache>
                <c:formatCode>#,##0.00</c:formatCode>
                <c:ptCount val="39"/>
                <c:pt idx="0">
                  <c:v>273.59786022874698</c:v>
                </c:pt>
                <c:pt idx="1">
                  <c:v>262.91246372440855</c:v>
                </c:pt>
                <c:pt idx="2">
                  <c:v>252.22706722007013</c:v>
                </c:pt>
                <c:pt idx="3">
                  <c:v>241.5416707157317</c:v>
                </c:pt>
                <c:pt idx="4">
                  <c:v>231.17225300962619</c:v>
                </c:pt>
                <c:pt idx="5">
                  <c:v>220.80283530352071</c:v>
                </c:pt>
                <c:pt idx="6">
                  <c:v>210.4334175974152</c:v>
                </c:pt>
                <c:pt idx="7">
                  <c:v>200.06399989130972</c:v>
                </c:pt>
                <c:pt idx="8">
                  <c:v>189.69458218520421</c:v>
                </c:pt>
                <c:pt idx="9">
                  <c:v>184.86766121963299</c:v>
                </c:pt>
                <c:pt idx="10">
                  <c:v>180.0407402540618</c:v>
                </c:pt>
                <c:pt idx="11">
                  <c:v>175.21381928849058</c:v>
                </c:pt>
                <c:pt idx="12">
                  <c:v>170.38689832291939</c:v>
                </c:pt>
                <c:pt idx="13">
                  <c:v>165.55997735734817</c:v>
                </c:pt>
                <c:pt idx="14">
                  <c:v>158.58816528932559</c:v>
                </c:pt>
                <c:pt idx="15">
                  <c:v>151.616353221303</c:v>
                </c:pt>
                <c:pt idx="16">
                  <c:v>144.64454115328039</c:v>
                </c:pt>
                <c:pt idx="17">
                  <c:v>137.6727290852578</c:v>
                </c:pt>
                <c:pt idx="18">
                  <c:v>130.70091701723521</c:v>
                </c:pt>
                <c:pt idx="19">
                  <c:v>128.42642464524369</c:v>
                </c:pt>
                <c:pt idx="20">
                  <c:v>126.15193227325214</c:v>
                </c:pt>
                <c:pt idx="21">
                  <c:v>123.8774399012606</c:v>
                </c:pt>
                <c:pt idx="22">
                  <c:v>121.60294752926907</c:v>
                </c:pt>
                <c:pt idx="23">
                  <c:v>119.32845515727753</c:v>
                </c:pt>
                <c:pt idx="24">
                  <c:v>116.50388161937026</c:v>
                </c:pt>
                <c:pt idx="25">
                  <c:v>113.67930808146299</c:v>
                </c:pt>
                <c:pt idx="26">
                  <c:v>110.85473454355574</c:v>
                </c:pt>
                <c:pt idx="27">
                  <c:v>108.03016100564847</c:v>
                </c:pt>
                <c:pt idx="28">
                  <c:v>105.2055874677412</c:v>
                </c:pt>
                <c:pt idx="29">
                  <c:v>102.53503399220023</c:v>
                </c:pt>
                <c:pt idx="30">
                  <c:v>99.864480516659256</c:v>
                </c:pt>
                <c:pt idx="31">
                  <c:v>97.193927041118286</c:v>
                </c:pt>
                <c:pt idx="32">
                  <c:v>94.523373565577316</c:v>
                </c:pt>
                <c:pt idx="33">
                  <c:v>91.852820090036346</c:v>
                </c:pt>
                <c:pt idx="34">
                  <c:v>90.521881414977642</c:v>
                </c:pt>
                <c:pt idx="35">
                  <c:v>89.190942739918952</c:v>
                </c:pt>
                <c:pt idx="36">
                  <c:v>87.860004064860249</c:v>
                </c:pt>
                <c:pt idx="37">
                  <c:v>86.529065389801559</c:v>
                </c:pt>
                <c:pt idx="38">
                  <c:v>85.198126714742855</c:v>
                </c:pt>
              </c:numCache>
            </c:numRef>
          </c:val>
          <c:smooth val="0"/>
        </c:ser>
        <c:ser>
          <c:idx val="1"/>
          <c:order val="1"/>
          <c:tx>
            <c:strRef>
              <c:f>'Raw data OLD'!$B$18</c:f>
              <c:strCache>
                <c:ptCount val="1"/>
                <c:pt idx="0">
                  <c:v>SCOPE 2 CO2 intensity OEM average (kg CO2/car)</c:v>
                </c:pt>
              </c:strCache>
            </c:strRef>
          </c:tx>
          <c:spPr>
            <a:ln w="28575" cap="rnd">
              <a:solidFill>
                <a:schemeClr val="accent2"/>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OLD'!$E$18:$AQ$18</c:f>
              <c:numCache>
                <c:formatCode>#,##0.00</c:formatCode>
                <c:ptCount val="39"/>
                <c:pt idx="0">
                  <c:v>482.8115183765791</c:v>
                </c:pt>
                <c:pt idx="1">
                  <c:v>499.4770745047918</c:v>
                </c:pt>
                <c:pt idx="2">
                  <c:v>516.1426306330045</c:v>
                </c:pt>
                <c:pt idx="3">
                  <c:v>532.80818676121714</c:v>
                </c:pt>
                <c:pt idx="4">
                  <c:v>522.66287205421781</c:v>
                </c:pt>
                <c:pt idx="5">
                  <c:v>512.51755734721849</c:v>
                </c:pt>
                <c:pt idx="6">
                  <c:v>502.3722426402191</c:v>
                </c:pt>
                <c:pt idx="7">
                  <c:v>492.22692793321977</c:v>
                </c:pt>
                <c:pt idx="8">
                  <c:v>482.08161322622044</c:v>
                </c:pt>
                <c:pt idx="9">
                  <c:v>448.11532376694049</c:v>
                </c:pt>
                <c:pt idx="10">
                  <c:v>414.1490343076606</c:v>
                </c:pt>
                <c:pt idx="11">
                  <c:v>380.18274484838065</c:v>
                </c:pt>
                <c:pt idx="12">
                  <c:v>346.2164553891007</c:v>
                </c:pt>
                <c:pt idx="13">
                  <c:v>312.25016592982075</c:v>
                </c:pt>
                <c:pt idx="14">
                  <c:v>290.04835769236371</c:v>
                </c:pt>
                <c:pt idx="15">
                  <c:v>267.84654945490666</c:v>
                </c:pt>
                <c:pt idx="16">
                  <c:v>245.64474121744959</c:v>
                </c:pt>
                <c:pt idx="17">
                  <c:v>223.44293297999252</c:v>
                </c:pt>
                <c:pt idx="18">
                  <c:v>201.24112474253548</c:v>
                </c:pt>
                <c:pt idx="19">
                  <c:v>186.26221894086018</c:v>
                </c:pt>
                <c:pt idx="20">
                  <c:v>171.28331313918488</c:v>
                </c:pt>
                <c:pt idx="21">
                  <c:v>156.30440733750959</c:v>
                </c:pt>
                <c:pt idx="22">
                  <c:v>141.32550153583432</c:v>
                </c:pt>
                <c:pt idx="23">
                  <c:v>126.34659573415902</c:v>
                </c:pt>
                <c:pt idx="24">
                  <c:v>117.13778310875468</c:v>
                </c:pt>
                <c:pt idx="25">
                  <c:v>107.92897048335033</c:v>
                </c:pt>
                <c:pt idx="26">
                  <c:v>98.720157857945964</c:v>
                </c:pt>
                <c:pt idx="27">
                  <c:v>89.511345232541615</c:v>
                </c:pt>
                <c:pt idx="28">
                  <c:v>80.302532607137266</c:v>
                </c:pt>
                <c:pt idx="29">
                  <c:v>73.343367351897427</c:v>
                </c:pt>
                <c:pt idx="30">
                  <c:v>66.384202096657603</c:v>
                </c:pt>
                <c:pt idx="31">
                  <c:v>59.425036841417764</c:v>
                </c:pt>
                <c:pt idx="32">
                  <c:v>52.465871586177933</c:v>
                </c:pt>
                <c:pt idx="33">
                  <c:v>45.506706330938101</c:v>
                </c:pt>
                <c:pt idx="34">
                  <c:v>42.602741617672599</c:v>
                </c:pt>
                <c:pt idx="35">
                  <c:v>39.698776904407097</c:v>
                </c:pt>
                <c:pt idx="36">
                  <c:v>36.794812191141602</c:v>
                </c:pt>
                <c:pt idx="37">
                  <c:v>33.890847477876093</c:v>
                </c:pt>
                <c:pt idx="38">
                  <c:v>30.986882764610595</c:v>
                </c:pt>
              </c:numCache>
            </c:numRef>
          </c:val>
          <c:smooth val="0"/>
        </c:ser>
        <c:ser>
          <c:idx val="2"/>
          <c:order val="2"/>
          <c:tx>
            <c:strRef>
              <c:f>'Raw data OLD'!$B$20</c:f>
              <c:strCache>
                <c:ptCount val="1"/>
                <c:pt idx="0">
                  <c:v>SCOPE 1+2 CO2 intensity OEM average (kg CO2/car)</c:v>
                </c:pt>
              </c:strCache>
            </c:strRef>
          </c:tx>
          <c:spPr>
            <a:ln w="28575" cap="rnd">
              <a:solidFill>
                <a:schemeClr val="accent3"/>
              </a:solidFill>
              <a:round/>
            </a:ln>
            <a:effectLst/>
          </c:spPr>
          <c:marker>
            <c:symbol val="none"/>
          </c:marker>
          <c:cat>
            <c:numRef>
              <c:f>'Raw data OLD'!$E$13:$AQ$13</c:f>
              <c:numCache>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Cache>
            </c:numRef>
          </c:cat>
          <c:val>
            <c:numRef>
              <c:f>'Raw data OLD'!$E$20:$AQ$20</c:f>
              <c:numCache>
                <c:formatCode>#,##0.00</c:formatCode>
                <c:ptCount val="39"/>
                <c:pt idx="0">
                  <c:v>756.40937860532608</c:v>
                </c:pt>
                <c:pt idx="1">
                  <c:v>762.3895382292003</c:v>
                </c:pt>
                <c:pt idx="2">
                  <c:v>768.36969785307463</c:v>
                </c:pt>
                <c:pt idx="3">
                  <c:v>774.34985747694884</c:v>
                </c:pt>
                <c:pt idx="4">
                  <c:v>753.83512506384398</c:v>
                </c:pt>
                <c:pt idx="5">
                  <c:v>733.32039265073911</c:v>
                </c:pt>
                <c:pt idx="6">
                  <c:v>712.80566023763436</c:v>
                </c:pt>
                <c:pt idx="7">
                  <c:v>692.29092782452949</c:v>
                </c:pt>
                <c:pt idx="8">
                  <c:v>671.77619541142462</c:v>
                </c:pt>
                <c:pt idx="9">
                  <c:v>632.98298498657346</c:v>
                </c:pt>
                <c:pt idx="10">
                  <c:v>594.18977456172229</c:v>
                </c:pt>
                <c:pt idx="11">
                  <c:v>555.39656413687112</c:v>
                </c:pt>
                <c:pt idx="12">
                  <c:v>516.60335371202007</c:v>
                </c:pt>
                <c:pt idx="13">
                  <c:v>477.8101432871689</c:v>
                </c:pt>
                <c:pt idx="14">
                  <c:v>448.63652298168927</c:v>
                </c:pt>
                <c:pt idx="15">
                  <c:v>419.46290267620964</c:v>
                </c:pt>
                <c:pt idx="16">
                  <c:v>390.28928237073001</c:v>
                </c:pt>
                <c:pt idx="17">
                  <c:v>361.11566206525032</c:v>
                </c:pt>
                <c:pt idx="18">
                  <c:v>331.94204175977069</c:v>
                </c:pt>
                <c:pt idx="19">
                  <c:v>314.68864358610386</c:v>
                </c:pt>
                <c:pt idx="20">
                  <c:v>297.43524541243704</c:v>
                </c:pt>
                <c:pt idx="21">
                  <c:v>280.18184723877022</c:v>
                </c:pt>
                <c:pt idx="22">
                  <c:v>262.92844906510339</c:v>
                </c:pt>
                <c:pt idx="23">
                  <c:v>245.67505089143657</c:v>
                </c:pt>
                <c:pt idx="24">
                  <c:v>233.64166472812494</c:v>
                </c:pt>
                <c:pt idx="25">
                  <c:v>221.60827856481333</c:v>
                </c:pt>
                <c:pt idx="26">
                  <c:v>209.5748924015017</c:v>
                </c:pt>
                <c:pt idx="27">
                  <c:v>197.5415062381901</c:v>
                </c:pt>
                <c:pt idx="28">
                  <c:v>185.50812007487846</c:v>
                </c:pt>
                <c:pt idx="29">
                  <c:v>175.87840134409765</c:v>
                </c:pt>
                <c:pt idx="30">
                  <c:v>166.24868261331684</c:v>
                </c:pt>
                <c:pt idx="31">
                  <c:v>156.61896388253604</c:v>
                </c:pt>
                <c:pt idx="32">
                  <c:v>146.98924515175526</c:v>
                </c:pt>
                <c:pt idx="33">
                  <c:v>137.35952642097445</c:v>
                </c:pt>
                <c:pt idx="34">
                  <c:v>133.12462303265025</c:v>
                </c:pt>
                <c:pt idx="35">
                  <c:v>128.88971964432605</c:v>
                </c:pt>
                <c:pt idx="36">
                  <c:v>124.65481625600185</c:v>
                </c:pt>
                <c:pt idx="37">
                  <c:v>120.41991286767765</c:v>
                </c:pt>
                <c:pt idx="38">
                  <c:v>116.18500947935345</c:v>
                </c:pt>
              </c:numCache>
            </c:numRef>
          </c:val>
          <c:smooth val="0"/>
        </c:ser>
        <c:dLbls>
          <c:showLegendKey val="0"/>
          <c:showVal val="0"/>
          <c:showCatName val="0"/>
          <c:showSerName val="0"/>
          <c:showPercent val="0"/>
          <c:showBubbleSize val="0"/>
        </c:dLbls>
        <c:smooth val="0"/>
        <c:axId val="541684864"/>
        <c:axId val="442594368"/>
      </c:lineChart>
      <c:catAx>
        <c:axId val="5416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594368"/>
        <c:crosses val="autoZero"/>
        <c:auto val="1"/>
        <c:lblAlgn val="ctr"/>
        <c:lblOffset val="100"/>
        <c:tickLblSkip val="5"/>
        <c:noMultiLvlLbl val="0"/>
      </c:catAx>
      <c:valAx>
        <c:axId val="4425943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6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Absolute pathway: Other Industry vs Revised OEM vs Old OEM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1"/>
          <c:order val="0"/>
          <c:tx>
            <c:strRef>
              <c:f>'Raw data B2DS'!$B$97</c:f>
              <c:strCache>
                <c:ptCount val="1"/>
                <c:pt idx="0">
                  <c:v>Other Industry Scope 1 emissions (MtCO2)</c:v>
                </c:pt>
              </c:strCache>
            </c:strRef>
          </c:tx>
          <c:spPr>
            <a:solidFill>
              <a:schemeClr val="accent2">
                <a:lumMod val="40000"/>
                <a:lumOff val="60000"/>
              </a:schemeClr>
            </a:solidFill>
            <a:ln>
              <a:noFill/>
            </a:ln>
            <a:effectLst/>
          </c:spPr>
          <c:cat>
            <c:numRef>
              <c:f>'Raw data B2DS'!$F$89:$AT$89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B2DS'!$F$97:$AT$97</c:f>
              <c:numCache>
                <c:formatCode>General</c:formatCode>
                <c:ptCount val="41"/>
                <c:pt idx="4" formatCode="#,##0.00">
                  <c:v>2261.4131158700566</c:v>
                </c:pt>
                <c:pt idx="5" formatCode="#,##0.00">
                  <c:v>2215.6503742787227</c:v>
                </c:pt>
                <c:pt idx="6" formatCode="#,##0.00">
                  <c:v>2169.8876326873888</c:v>
                </c:pt>
                <c:pt idx="7" formatCode="#,##0.00">
                  <c:v>2124.1248910960553</c:v>
                </c:pt>
                <c:pt idx="8" formatCode="#,##0.00">
                  <c:v>2078.3621495047214</c:v>
                </c:pt>
                <c:pt idx="9" formatCode="#,##0.00">
                  <c:v>2032.5994079133875</c:v>
                </c:pt>
                <c:pt idx="10" formatCode="#,##0.00">
                  <c:v>1986.8366663220536</c:v>
                </c:pt>
                <c:pt idx="11" formatCode="#,##0.00">
                  <c:v>1941.0739247307197</c:v>
                </c:pt>
                <c:pt idx="12" formatCode="#,##0.00">
                  <c:v>1895.311183139386</c:v>
                </c:pt>
                <c:pt idx="13" formatCode="#,##0.00">
                  <c:v>1849.5484415480523</c:v>
                </c:pt>
                <c:pt idx="14" formatCode="#,##0.00">
                  <c:v>1803.7856999567184</c:v>
                </c:pt>
                <c:pt idx="15" formatCode="#,##0.00">
                  <c:v>1758.0229583653845</c:v>
                </c:pt>
                <c:pt idx="16" formatCode="#,##0.00">
                  <c:v>1717.7026012728813</c:v>
                </c:pt>
                <c:pt idx="17" formatCode="#,##0.00">
                  <c:v>1677.3822441803782</c:v>
                </c:pt>
                <c:pt idx="18" formatCode="#,##0.00">
                  <c:v>1637.0618870878748</c:v>
                </c:pt>
                <c:pt idx="19" formatCode="#,##0.00">
                  <c:v>1596.7415299953716</c:v>
                </c:pt>
                <c:pt idx="20" formatCode="#,##0.00">
                  <c:v>1556.4211729028684</c:v>
                </c:pt>
                <c:pt idx="21" formatCode="#,##0.00">
                  <c:v>1539.4905292898586</c:v>
                </c:pt>
                <c:pt idx="22" formatCode="#,##0.00">
                  <c:v>1522.5598856768488</c:v>
                </c:pt>
                <c:pt idx="23" formatCode="#,##0.00">
                  <c:v>1505.6292420638388</c:v>
                </c:pt>
                <c:pt idx="24" formatCode="#,##0.00">
                  <c:v>1488.698598450829</c:v>
                </c:pt>
                <c:pt idx="25" formatCode="#,##0.00">
                  <c:v>1471.7679548378192</c:v>
                </c:pt>
                <c:pt idx="26" formatCode="#,##0.00">
                  <c:v>1457.1726101859069</c:v>
                </c:pt>
                <c:pt idx="27" formatCode="#,##0.00">
                  <c:v>1442.5772655339947</c:v>
                </c:pt>
                <c:pt idx="28" formatCode="#,##0.00">
                  <c:v>1427.9819208820827</c:v>
                </c:pt>
                <c:pt idx="29" formatCode="#,##0.00">
                  <c:v>1413.3865762301705</c:v>
                </c:pt>
                <c:pt idx="30" formatCode="#,##0.00">
                  <c:v>1398.7912315782582</c:v>
                </c:pt>
                <c:pt idx="31" formatCode="#,##0.00">
                  <c:v>1374.2643392388832</c:v>
                </c:pt>
                <c:pt idx="32" formatCode="#,##0.00">
                  <c:v>1349.7374468995083</c:v>
                </c:pt>
                <c:pt idx="33" formatCode="#,##0.00">
                  <c:v>1325.2105545601332</c:v>
                </c:pt>
                <c:pt idx="34" formatCode="#,##0.00">
                  <c:v>1300.6836622207584</c:v>
                </c:pt>
                <c:pt idx="35" formatCode="#,##0.00">
                  <c:v>1276.1567698813833</c:v>
                </c:pt>
                <c:pt idx="36" formatCode="#,##0.00">
                  <c:v>1252.0185268422456</c:v>
                </c:pt>
                <c:pt idx="37" formatCode="#,##0.00">
                  <c:v>1227.8802838031079</c:v>
                </c:pt>
                <c:pt idx="38" formatCode="#,##0.00">
                  <c:v>1203.7420407639702</c:v>
                </c:pt>
                <c:pt idx="39" formatCode="#,##0.00">
                  <c:v>1179.6037977248325</c:v>
                </c:pt>
                <c:pt idx="40" formatCode="#,##0.00">
                  <c:v>1155.4655546856948</c:v>
                </c:pt>
              </c:numCache>
            </c:numRef>
          </c:val>
        </c:ser>
        <c:ser>
          <c:idx val="0"/>
          <c:order val="1"/>
          <c:tx>
            <c:strRef>
              <c:f>'Raw data B2DS'!$B$96</c:f>
              <c:strCache>
                <c:ptCount val="1"/>
                <c:pt idx="0">
                  <c:v>Other Industry Scope 2 emissions (MtCO2)</c:v>
                </c:pt>
              </c:strCache>
            </c:strRef>
          </c:tx>
          <c:spPr>
            <a:solidFill>
              <a:schemeClr val="accent1">
                <a:lumMod val="40000"/>
                <a:lumOff val="60000"/>
              </a:schemeClr>
            </a:solidFill>
            <a:ln>
              <a:noFill/>
            </a:ln>
            <a:effectLst/>
          </c:spPr>
          <c:cat>
            <c:numRef>
              <c:f>'Raw data B2DS'!$F$89:$AT$89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B2DS'!$F$96:$AT$96</c:f>
              <c:numCache>
                <c:formatCode>General</c:formatCode>
                <c:ptCount val="41"/>
                <c:pt idx="4" formatCode="#,##0.00">
                  <c:v>2541.2199103500957</c:v>
                </c:pt>
                <c:pt idx="5" formatCode="#,##0.00">
                  <c:v>2446.8704531901412</c:v>
                </c:pt>
                <c:pt idx="6" formatCode="#,##0.00">
                  <c:v>2352.5209960301863</c:v>
                </c:pt>
                <c:pt idx="7" formatCode="#,##0.00">
                  <c:v>2258.1715388702319</c:v>
                </c:pt>
                <c:pt idx="8" formatCode="#,##0.00">
                  <c:v>2163.8220817102774</c:v>
                </c:pt>
                <c:pt idx="9" formatCode="#,##0.00">
                  <c:v>2069.4726245503225</c:v>
                </c:pt>
                <c:pt idx="10" formatCode="#,##0.00">
                  <c:v>1975.1231673903681</c:v>
                </c:pt>
                <c:pt idx="11" formatCode="#,##0.00">
                  <c:v>1880.7737102304136</c:v>
                </c:pt>
                <c:pt idx="12" formatCode="#,##0.00">
                  <c:v>1786.4242530704589</c:v>
                </c:pt>
                <c:pt idx="13" formatCode="#,##0.00">
                  <c:v>1692.0747959105042</c:v>
                </c:pt>
                <c:pt idx="14" formatCode="#,##0.00">
                  <c:v>1597.7253387505498</c:v>
                </c:pt>
                <c:pt idx="15" formatCode="#,##0.00">
                  <c:v>1503.3758815905951</c:v>
                </c:pt>
                <c:pt idx="16" formatCode="#,##0.00">
                  <c:v>1416.1036454453281</c:v>
                </c:pt>
                <c:pt idx="17" formatCode="#,##0.00">
                  <c:v>1328.8314093000611</c:v>
                </c:pt>
                <c:pt idx="18" formatCode="#,##0.00">
                  <c:v>1241.5591731547938</c:v>
                </c:pt>
                <c:pt idx="19" formatCode="#,##0.00">
                  <c:v>1154.2869370095268</c:v>
                </c:pt>
                <c:pt idx="20" formatCode="#,##0.00">
                  <c:v>1067.0147008642598</c:v>
                </c:pt>
                <c:pt idx="21" formatCode="#,##0.00">
                  <c:v>994.33507117775412</c:v>
                </c:pt>
                <c:pt idx="22" formatCode="#,##0.00">
                  <c:v>921.65544149124844</c:v>
                </c:pt>
                <c:pt idx="23" formatCode="#,##0.00">
                  <c:v>848.97581180474265</c:v>
                </c:pt>
                <c:pt idx="24" formatCode="#,##0.00">
                  <c:v>776.29618211823697</c:v>
                </c:pt>
                <c:pt idx="25" formatCode="#,##0.00">
                  <c:v>703.61655243173129</c:v>
                </c:pt>
                <c:pt idx="26" formatCode="#,##0.00">
                  <c:v>640.94815361174756</c:v>
                </c:pt>
                <c:pt idx="27" formatCode="#,##0.00">
                  <c:v>578.27975479176393</c:v>
                </c:pt>
                <c:pt idx="28" formatCode="#,##0.00">
                  <c:v>515.6113559717802</c:v>
                </c:pt>
                <c:pt idx="29" formatCode="#,##0.00">
                  <c:v>452.94295715179652</c:v>
                </c:pt>
                <c:pt idx="30" formatCode="#,##0.00">
                  <c:v>390.27455833181284</c:v>
                </c:pt>
                <c:pt idx="31" formatCode="#,##0.00">
                  <c:v>335.37839528278096</c:v>
                </c:pt>
                <c:pt idx="32" formatCode="#,##0.00">
                  <c:v>280.48223223374907</c:v>
                </c:pt>
                <c:pt idx="33" formatCode="#,##0.00">
                  <c:v>225.58606918471713</c:v>
                </c:pt>
                <c:pt idx="34" formatCode="#,##0.00">
                  <c:v>170.68990613568525</c:v>
                </c:pt>
                <c:pt idx="35" formatCode="#,##0.00">
                  <c:v>115.79374308665336</c:v>
                </c:pt>
                <c:pt idx="36" formatCode="#,##0.00">
                  <c:v>82.861075157006496</c:v>
                </c:pt>
                <c:pt idx="37" formatCode="#,##0.00">
                  <c:v>49.928407227359628</c:v>
                </c:pt>
                <c:pt idx="38" formatCode="#,##0.00">
                  <c:v>16.99573929771276</c:v>
                </c:pt>
                <c:pt idx="39" formatCode="#,##0.00">
                  <c:v>-15.936928631934109</c:v>
                </c:pt>
                <c:pt idx="40" formatCode="#,##0.00">
                  <c:v>-48.86959656158097</c:v>
                </c:pt>
              </c:numCache>
            </c:numRef>
          </c:val>
        </c:ser>
        <c:dLbls>
          <c:showLegendKey val="0"/>
          <c:showVal val="0"/>
          <c:showCatName val="0"/>
          <c:showSerName val="0"/>
          <c:showPercent val="0"/>
          <c:showBubbleSize val="0"/>
        </c:dLbls>
        <c:axId val="301009056"/>
        <c:axId val="620401104"/>
      </c:areaChart>
      <c:lineChart>
        <c:grouping val="standard"/>
        <c:varyColors val="0"/>
        <c:ser>
          <c:idx val="2"/>
          <c:order val="2"/>
          <c:tx>
            <c:strRef>
              <c:f>'Raw data B2DS'!$B$99</c:f>
              <c:strCache>
                <c:ptCount val="1"/>
                <c:pt idx="0">
                  <c:v>OEM Scope 2 emissions (MtCO2)</c:v>
                </c:pt>
              </c:strCache>
            </c:strRef>
          </c:tx>
          <c:spPr>
            <a:ln w="28575" cap="rnd">
              <a:solidFill>
                <a:schemeClr val="accent1"/>
              </a:solidFill>
              <a:round/>
            </a:ln>
            <a:effectLst/>
          </c:spPr>
          <c:marker>
            <c:symbol val="none"/>
          </c:marker>
          <c:val>
            <c:numRef>
              <c:f>'Raw data B2DS'!$F$99:$AT$99</c:f>
              <c:numCache>
                <c:formatCode>General</c:formatCode>
                <c:ptCount val="41"/>
                <c:pt idx="2" formatCode="#,##0.00">
                  <c:v>33.66034211104455</c:v>
                </c:pt>
                <c:pt idx="3" formatCode="#,##0.00">
                  <c:v>36.656584771043129</c:v>
                </c:pt>
                <c:pt idx="4" formatCode="#,##0.00">
                  <c:v>39.652827431041715</c:v>
                </c:pt>
                <c:pt idx="5" formatCode="#,##0.00">
                  <c:v>42.649070091040294</c:v>
                </c:pt>
                <c:pt idx="6" formatCode="#,##0.00">
                  <c:v>41.004554499207359</c:v>
                </c:pt>
                <c:pt idx="7" formatCode="#,##0.00">
                  <c:v>39.360038907374424</c:v>
                </c:pt>
                <c:pt idx="8" formatCode="#,##0.00">
                  <c:v>37.715523315541489</c:v>
                </c:pt>
                <c:pt idx="9" formatCode="#,##0.00">
                  <c:v>36.071007723708547</c:v>
                </c:pt>
                <c:pt idx="10" formatCode="#,##0.00">
                  <c:v>34.426492131875612</c:v>
                </c:pt>
                <c:pt idx="11" formatCode="#,##0.00">
                  <c:v>32.781976540042677</c:v>
                </c:pt>
                <c:pt idx="12" formatCode="#,##0.00">
                  <c:v>31.137460948209743</c:v>
                </c:pt>
                <c:pt idx="13" formatCode="#,##0.00">
                  <c:v>29.492945356376808</c:v>
                </c:pt>
                <c:pt idx="14" formatCode="#,##0.00">
                  <c:v>27.848429764543873</c:v>
                </c:pt>
                <c:pt idx="15" formatCode="#,##0.00">
                  <c:v>26.203914172710938</c:v>
                </c:pt>
                <c:pt idx="16" formatCode="#,##0.00">
                  <c:v>24.682754884727956</c:v>
                </c:pt>
                <c:pt idx="17" formatCode="#,##0.00">
                  <c:v>23.161595596744974</c:v>
                </c:pt>
                <c:pt idx="18" formatCode="#,##0.00">
                  <c:v>21.640436308761991</c:v>
                </c:pt>
                <c:pt idx="19" formatCode="#,##0.00">
                  <c:v>20.119277020779005</c:v>
                </c:pt>
                <c:pt idx="20" formatCode="#,##0.00">
                  <c:v>18.598117732796023</c:v>
                </c:pt>
                <c:pt idx="21" formatCode="#,##0.00">
                  <c:v>17.331308279664029</c:v>
                </c:pt>
                <c:pt idx="22" formatCode="#,##0.00">
                  <c:v>16.064498826532038</c:v>
                </c:pt>
                <c:pt idx="23" formatCode="#,##0.00">
                  <c:v>14.797689373400043</c:v>
                </c:pt>
                <c:pt idx="24" formatCode="#,##0.00">
                  <c:v>13.530879920268051</c:v>
                </c:pt>
                <c:pt idx="25" formatCode="#,##0.00">
                  <c:v>12.264070467136058</c:v>
                </c:pt>
                <c:pt idx="26" formatCode="#,##0.00">
                  <c:v>11.171757251173963</c:v>
                </c:pt>
                <c:pt idx="27" formatCode="#,##0.00">
                  <c:v>10.079444035211869</c:v>
                </c:pt>
                <c:pt idx="28" formatCode="#,##0.00">
                  <c:v>8.9871308192497743</c:v>
                </c:pt>
                <c:pt idx="29" formatCode="#,##0.00">
                  <c:v>7.89481760328768</c:v>
                </c:pt>
                <c:pt idx="30" formatCode="#,##0.00">
                  <c:v>6.8025043873255857</c:v>
                </c:pt>
                <c:pt idx="31" formatCode="#,##0.00">
                  <c:v>5.8456616159582362</c:v>
                </c:pt>
                <c:pt idx="32" formatCode="#,##0.00">
                  <c:v>4.8888188445908867</c:v>
                </c:pt>
                <c:pt idx="33" formatCode="#,##0.00">
                  <c:v>3.9319760732235363</c:v>
                </c:pt>
                <c:pt idx="34" formatCode="#,##0.00">
                  <c:v>2.9751333018561867</c:v>
                </c:pt>
                <c:pt idx="35" formatCode="#,##0.00">
                  <c:v>2.0182905304888372</c:v>
                </c:pt>
                <c:pt idx="36" formatCode="#,##0.00">
                  <c:v>1.4442725390642133</c:v>
                </c:pt>
                <c:pt idx="37" formatCode="#,##0.00">
                  <c:v>0.87025454763958932</c:v>
                </c:pt>
                <c:pt idx="38" formatCode="#,##0.00">
                  <c:v>0.29623655621496536</c:v>
                </c:pt>
                <c:pt idx="39" formatCode="#,##0.00">
                  <c:v>-0.27778143520965859</c:v>
                </c:pt>
                <c:pt idx="40" formatCode="#,##0.00">
                  <c:v>-0.8517994266342821</c:v>
                </c:pt>
              </c:numCache>
            </c:numRef>
          </c:val>
          <c:smooth val="0"/>
        </c:ser>
        <c:ser>
          <c:idx val="3"/>
          <c:order val="3"/>
          <c:tx>
            <c:strRef>
              <c:f>'Raw data B2DS'!$B$100</c:f>
              <c:strCache>
                <c:ptCount val="1"/>
                <c:pt idx="0">
                  <c:v>OEM Scope 1 emissions (MtCO2)</c:v>
                </c:pt>
              </c:strCache>
            </c:strRef>
          </c:tx>
          <c:spPr>
            <a:ln w="28575" cap="rnd">
              <a:solidFill>
                <a:schemeClr val="accent2"/>
              </a:solidFill>
              <a:round/>
            </a:ln>
            <a:effectLst/>
          </c:spPr>
          <c:marker>
            <c:symbol val="none"/>
          </c:marker>
          <c:val>
            <c:numRef>
              <c:f>'Raw data B2DS'!$F$100:$AT$100</c:f>
              <c:numCache>
                <c:formatCode>General</c:formatCode>
                <c:ptCount val="41"/>
                <c:pt idx="2" formatCode="#,##0.00">
                  <c:v>19.074519197709588</c:v>
                </c:pt>
                <c:pt idx="3" formatCode="#,##0.00">
                  <c:v>19.16114678128724</c:v>
                </c:pt>
                <c:pt idx="4" formatCode="#,##0.00">
                  <c:v>19.247774364864892</c:v>
                </c:pt>
                <c:pt idx="5" formatCode="#,##0.00">
                  <c:v>19.334401948442544</c:v>
                </c:pt>
                <c:pt idx="6" formatCode="#,##0.00">
                  <c:v>18.935063113010266</c:v>
                </c:pt>
                <c:pt idx="7" formatCode="#,##0.00">
                  <c:v>18.535724277577987</c:v>
                </c:pt>
                <c:pt idx="8" formatCode="#,##0.00">
                  <c:v>18.136385442145706</c:v>
                </c:pt>
                <c:pt idx="9" formatCode="#,##0.00">
                  <c:v>17.737046606713427</c:v>
                </c:pt>
                <c:pt idx="10" formatCode="#,##0.00">
                  <c:v>17.337707771281149</c:v>
                </c:pt>
                <c:pt idx="11" formatCode="#,##0.00">
                  <c:v>16.938368935848871</c:v>
                </c:pt>
                <c:pt idx="12" formatCode="#,##0.00">
                  <c:v>16.539030100416593</c:v>
                </c:pt>
                <c:pt idx="13" formatCode="#,##0.00">
                  <c:v>16.139691264984315</c:v>
                </c:pt>
                <c:pt idx="14" formatCode="#,##0.00">
                  <c:v>15.740352429552036</c:v>
                </c:pt>
                <c:pt idx="15" formatCode="#,##0.00">
                  <c:v>15.341013594119758</c:v>
                </c:pt>
                <c:pt idx="16" formatCode="#,##0.00">
                  <c:v>14.989166569976803</c:v>
                </c:pt>
                <c:pt idx="17" formatCode="#,##0.00">
                  <c:v>14.637319545833847</c:v>
                </c:pt>
                <c:pt idx="18" formatCode="#,##0.00">
                  <c:v>14.285472521690892</c:v>
                </c:pt>
                <c:pt idx="19" formatCode="#,##0.00">
                  <c:v>13.933625497547938</c:v>
                </c:pt>
                <c:pt idx="20" formatCode="#,##0.00">
                  <c:v>13.581778473404983</c:v>
                </c:pt>
                <c:pt idx="21" formatCode="#,##0.00">
                  <c:v>13.434036811335972</c:v>
                </c:pt>
                <c:pt idx="22" formatCode="#,##0.00">
                  <c:v>13.286295149266961</c:v>
                </c:pt>
                <c:pt idx="23" formatCode="#,##0.00">
                  <c:v>13.138553487197951</c:v>
                </c:pt>
                <c:pt idx="24" formatCode="#,##0.00">
                  <c:v>12.99081182512894</c:v>
                </c:pt>
                <c:pt idx="25" formatCode="#,##0.00">
                  <c:v>12.843070163059929</c:v>
                </c:pt>
                <c:pt idx="26" formatCode="#,##0.00">
                  <c:v>12.715706990895194</c:v>
                </c:pt>
                <c:pt idx="27" formatCode="#,##0.00">
                  <c:v>12.588343818730458</c:v>
                </c:pt>
                <c:pt idx="28" formatCode="#,##0.00">
                  <c:v>12.460980646565723</c:v>
                </c:pt>
                <c:pt idx="29" formatCode="#,##0.00">
                  <c:v>12.333617474400986</c:v>
                </c:pt>
                <c:pt idx="30" formatCode="#,##0.00">
                  <c:v>12.206254302236252</c:v>
                </c:pt>
                <c:pt idx="31" formatCode="#,##0.00">
                  <c:v>11.992225590603431</c:v>
                </c:pt>
                <c:pt idx="32" formatCode="#,##0.00">
                  <c:v>11.77819687897061</c:v>
                </c:pt>
                <c:pt idx="33" formatCode="#,##0.00">
                  <c:v>11.56416816733779</c:v>
                </c:pt>
                <c:pt idx="34" formatCode="#,##0.00">
                  <c:v>11.350139455704969</c:v>
                </c:pt>
                <c:pt idx="35" formatCode="#,##0.00">
                  <c:v>11.136110744072148</c:v>
                </c:pt>
                <c:pt idx="36" formatCode="#,##0.00">
                  <c:v>10.925473497931808</c:v>
                </c:pt>
                <c:pt idx="37" formatCode="#,##0.00">
                  <c:v>10.714836251791468</c:v>
                </c:pt>
                <c:pt idx="38" formatCode="#,##0.00">
                  <c:v>10.504199005651129</c:v>
                </c:pt>
                <c:pt idx="39" formatCode="#,##0.00">
                  <c:v>10.293561759510789</c:v>
                </c:pt>
                <c:pt idx="40" formatCode="#,##0.00">
                  <c:v>10.082924513370449</c:v>
                </c:pt>
              </c:numCache>
            </c:numRef>
          </c:val>
          <c:smooth val="0"/>
        </c:ser>
        <c:ser>
          <c:idx val="4"/>
          <c:order val="4"/>
          <c:tx>
            <c:strRef>
              <c:f>'Raw data B2DS'!$B$133</c:f>
              <c:strCache>
                <c:ptCount val="1"/>
                <c:pt idx="0">
                  <c:v>OLD OEM Scope 1 emissions</c:v>
                </c:pt>
              </c:strCache>
            </c:strRef>
          </c:tx>
          <c:spPr>
            <a:ln w="28575" cap="rnd">
              <a:solidFill>
                <a:schemeClr val="accent2"/>
              </a:solidFill>
              <a:prstDash val="sysDash"/>
              <a:round/>
            </a:ln>
            <a:effectLst/>
          </c:spPr>
          <c:marker>
            <c:symbol val="none"/>
          </c:marker>
          <c:val>
            <c:numRef>
              <c:f>'Raw data B2DS'!$F$133:$AT$133</c:f>
              <c:numCache>
                <c:formatCode>General</c:formatCode>
                <c:ptCount val="41"/>
                <c:pt idx="2" formatCode="#,##0.00">
                  <c:v>21.340633097842264</c:v>
                </c:pt>
                <c:pt idx="3" formatCode="#,##0.00">
                  <c:v>20.671889381375692</c:v>
                </c:pt>
                <c:pt idx="4" formatCode="#,##0.00">
                  <c:v>20.003145664909116</c:v>
                </c:pt>
                <c:pt idx="5" formatCode="#,##0.00">
                  <c:v>19.334401948442544</c:v>
                </c:pt>
                <c:pt idx="6" formatCode="#,##0.00">
                  <c:v>19.055445145168289</c:v>
                </c:pt>
                <c:pt idx="7" formatCode="#,##0.00">
                  <c:v>18.776488341894034</c:v>
                </c:pt>
                <c:pt idx="8" formatCode="#,##0.00">
                  <c:v>18.497531538619782</c:v>
                </c:pt>
                <c:pt idx="9" formatCode="#,##0.00">
                  <c:v>18.218574735345527</c:v>
                </c:pt>
                <c:pt idx="10" formatCode="#,##0.00">
                  <c:v>17.939617932071272</c:v>
                </c:pt>
                <c:pt idx="11" formatCode="#,##0.00">
                  <c:v>17.660661128797017</c:v>
                </c:pt>
                <c:pt idx="12" formatCode="#,##0.00">
                  <c:v>17.381704325522762</c:v>
                </c:pt>
                <c:pt idx="13" formatCode="#,##0.00">
                  <c:v>17.10274752224851</c:v>
                </c:pt>
                <c:pt idx="14" formatCode="#,##0.00">
                  <c:v>16.823790718974255</c:v>
                </c:pt>
                <c:pt idx="15" formatCode="#,##0.00">
                  <c:v>16.5448339157</c:v>
                </c:pt>
                <c:pt idx="16" formatCode="#,##0.00">
                  <c:v>16.308316816698476</c:v>
                </c:pt>
                <c:pt idx="17" formatCode="#,##0.00">
                  <c:v>16.071799717696951</c:v>
                </c:pt>
                <c:pt idx="18" formatCode="#,##0.00">
                  <c:v>15.835282618695423</c:v>
                </c:pt>
                <c:pt idx="19" formatCode="#,##0.00">
                  <c:v>15.598765519693899</c:v>
                </c:pt>
                <c:pt idx="20" formatCode="#,##0.00">
                  <c:v>15.362248420692373</c:v>
                </c:pt>
                <c:pt idx="21" formatCode="#,##0.00">
                  <c:v>15.14738936012378</c:v>
                </c:pt>
                <c:pt idx="22" formatCode="#,##0.00">
                  <c:v>14.932530299555186</c:v>
                </c:pt>
                <c:pt idx="23" formatCode="#,##0.00">
                  <c:v>14.717671238986595</c:v>
                </c:pt>
                <c:pt idx="24" formatCode="#,##0.00">
                  <c:v>14.502812178418001</c:v>
                </c:pt>
                <c:pt idx="25" formatCode="#,##0.00">
                  <c:v>14.287953117849408</c:v>
                </c:pt>
                <c:pt idx="26" formatCode="#,##0.00">
                  <c:v>14.113119633404883</c:v>
                </c:pt>
                <c:pt idx="27" formatCode="#,##0.00">
                  <c:v>13.938286148960357</c:v>
                </c:pt>
                <c:pt idx="28" formatCode="#,##0.00">
                  <c:v>13.763452664515833</c:v>
                </c:pt>
                <c:pt idx="29" formatCode="#,##0.00">
                  <c:v>13.588619180071309</c:v>
                </c:pt>
                <c:pt idx="30" formatCode="#,##0.00">
                  <c:v>13.413785695626784</c:v>
                </c:pt>
                <c:pt idx="31" formatCode="#,##0.00">
                  <c:v>13.319391660679532</c:v>
                </c:pt>
                <c:pt idx="32" formatCode="#,##0.00">
                  <c:v>13.22499762573228</c:v>
                </c:pt>
                <c:pt idx="33" formatCode="#,##0.00">
                  <c:v>13.130603590785027</c:v>
                </c:pt>
                <c:pt idx="34" formatCode="#,##0.00">
                  <c:v>13.036209555837775</c:v>
                </c:pt>
                <c:pt idx="35" formatCode="#,##0.00">
                  <c:v>12.941815520890522</c:v>
                </c:pt>
                <c:pt idx="36" formatCode="#,##0.00">
                  <c:v>12.784989116977737</c:v>
                </c:pt>
                <c:pt idx="37" formatCode="#,##0.00">
                  <c:v>12.628162713064953</c:v>
                </c:pt>
                <c:pt idx="38" formatCode="#,##0.00">
                  <c:v>12.471336309152166</c:v>
                </c:pt>
                <c:pt idx="39" formatCode="#,##0.00">
                  <c:v>12.314509905239381</c:v>
                </c:pt>
                <c:pt idx="40" formatCode="#,##0.00">
                  <c:v>12.157683501326595</c:v>
                </c:pt>
              </c:numCache>
            </c:numRef>
          </c:val>
          <c:smooth val="0"/>
        </c:ser>
        <c:ser>
          <c:idx val="5"/>
          <c:order val="5"/>
          <c:tx>
            <c:strRef>
              <c:f>'Raw data B2DS'!$B$134</c:f>
              <c:strCache>
                <c:ptCount val="1"/>
                <c:pt idx="0">
                  <c:v>OLD OEM Scope 2 emissions</c:v>
                </c:pt>
              </c:strCache>
            </c:strRef>
          </c:tx>
          <c:spPr>
            <a:ln w="28575" cap="rnd">
              <a:solidFill>
                <a:schemeClr val="accent1"/>
              </a:solidFill>
              <a:prstDash val="sysDash"/>
              <a:round/>
            </a:ln>
            <a:effectLst/>
          </c:spPr>
          <c:marker>
            <c:symbol val="none"/>
          </c:marker>
          <c:val>
            <c:numRef>
              <c:f>'Raw data B2DS'!$F$134:$AT$134</c:f>
              <c:numCache>
                <c:formatCode>General</c:formatCode>
                <c:ptCount val="41"/>
                <c:pt idx="2" formatCode="#,##0.00">
                  <c:v>37.659298433373166</c:v>
                </c:pt>
                <c:pt idx="3" formatCode="#,##0.00">
                  <c:v>39.32255565259554</c:v>
                </c:pt>
                <c:pt idx="4" formatCode="#,##0.00">
                  <c:v>40.985812871817927</c:v>
                </c:pt>
                <c:pt idx="5" formatCode="#,##0.00">
                  <c:v>42.649070091040301</c:v>
                </c:pt>
                <c:pt idx="6" formatCode="#,##0.00">
                  <c:v>43.237450017782457</c:v>
                </c:pt>
                <c:pt idx="7" formatCode="#,##0.00">
                  <c:v>43.825829944524614</c:v>
                </c:pt>
                <c:pt idx="8" formatCode="#,##0.00">
                  <c:v>44.41420987126677</c:v>
                </c:pt>
                <c:pt idx="9" formatCode="#,##0.00">
                  <c:v>45.002589798008927</c:v>
                </c:pt>
                <c:pt idx="10" formatCode="#,##0.00">
                  <c:v>45.590969724751083</c:v>
                </c:pt>
                <c:pt idx="11" formatCode="#,##0.00">
                  <c:v>42.713568050879729</c:v>
                </c:pt>
                <c:pt idx="12" formatCode="#,##0.00">
                  <c:v>39.836166377008375</c:v>
                </c:pt>
                <c:pt idx="13" formatCode="#,##0.00">
                  <c:v>36.958764703137028</c:v>
                </c:pt>
                <c:pt idx="14" formatCode="#,##0.00">
                  <c:v>34.081363029265674</c:v>
                </c:pt>
                <c:pt idx="15" formatCode="#,##0.00">
                  <c:v>31.20396135539432</c:v>
                </c:pt>
                <c:pt idx="16" formatCode="#,##0.00">
                  <c:v>29.693841555950375</c:v>
                </c:pt>
                <c:pt idx="17" formatCode="#,##0.00">
                  <c:v>28.183721756506429</c:v>
                </c:pt>
                <c:pt idx="18" formatCode="#,##0.00">
                  <c:v>26.673601957062484</c:v>
                </c:pt>
                <c:pt idx="19" formatCode="#,##0.00">
                  <c:v>25.163482157618539</c:v>
                </c:pt>
                <c:pt idx="20" formatCode="#,##0.00">
                  <c:v>23.653362358174594</c:v>
                </c:pt>
                <c:pt idx="21" formatCode="#,##0.00">
                  <c:v>21.948345810887638</c:v>
                </c:pt>
                <c:pt idx="22" formatCode="#,##0.00">
                  <c:v>20.243329263600685</c:v>
                </c:pt>
                <c:pt idx="23" formatCode="#,##0.00">
                  <c:v>18.53831271631373</c:v>
                </c:pt>
                <c:pt idx="24" formatCode="#,##0.00">
                  <c:v>16.833296169026777</c:v>
                </c:pt>
                <c:pt idx="25" formatCode="#,##0.00">
                  <c:v>15.128279621739823</c:v>
                </c:pt>
                <c:pt idx="26" formatCode="#,##0.00">
                  <c:v>14.150349467733681</c:v>
                </c:pt>
                <c:pt idx="27" formatCode="#,##0.00">
                  <c:v>13.172419313727538</c:v>
                </c:pt>
                <c:pt idx="28" formatCode="#,##0.00">
                  <c:v>12.194489159721394</c:v>
                </c:pt>
                <c:pt idx="29" formatCode="#,##0.00">
                  <c:v>11.216559005715251</c:v>
                </c:pt>
                <c:pt idx="30" formatCode="#,##0.00">
                  <c:v>10.238628851709109</c:v>
                </c:pt>
                <c:pt idx="31" formatCode="#,##0.00">
                  <c:v>9.4732576083617754</c:v>
                </c:pt>
                <c:pt idx="32" formatCode="#,##0.00">
                  <c:v>8.707886365014442</c:v>
                </c:pt>
                <c:pt idx="33" formatCode="#,##0.00">
                  <c:v>7.9425151216671068</c:v>
                </c:pt>
                <c:pt idx="34" formatCode="#,##0.00">
                  <c:v>7.1771438783197725</c:v>
                </c:pt>
                <c:pt idx="35" formatCode="#,##0.00">
                  <c:v>6.4117726349724391</c:v>
                </c:pt>
                <c:pt idx="36" formatCode="#,##0.00">
                  <c:v>6.0137772549958104</c:v>
                </c:pt>
                <c:pt idx="37" formatCode="#,##0.00">
                  <c:v>5.6157818750191835</c:v>
                </c:pt>
                <c:pt idx="38" formatCode="#,##0.00">
                  <c:v>5.2177864950425548</c:v>
                </c:pt>
                <c:pt idx="39" formatCode="#,##0.00">
                  <c:v>4.8197911150659269</c:v>
                </c:pt>
                <c:pt idx="40" formatCode="#,##0.00">
                  <c:v>4.4217957350892991</c:v>
                </c:pt>
              </c:numCache>
            </c:numRef>
          </c:val>
          <c:smooth val="0"/>
        </c:ser>
        <c:dLbls>
          <c:showLegendKey val="0"/>
          <c:showVal val="0"/>
          <c:showCatName val="0"/>
          <c:showSerName val="0"/>
          <c:showPercent val="0"/>
          <c:showBubbleSize val="0"/>
        </c:dLbls>
        <c:marker val="1"/>
        <c:smooth val="0"/>
        <c:axId val="620402224"/>
        <c:axId val="620401664"/>
      </c:lineChart>
      <c:catAx>
        <c:axId val="30100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401104"/>
        <c:crosses val="autoZero"/>
        <c:auto val="1"/>
        <c:lblAlgn val="ctr"/>
        <c:lblOffset val="100"/>
        <c:noMultiLvlLbl val="0"/>
      </c:catAx>
      <c:valAx>
        <c:axId val="620401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1009056"/>
        <c:crosses val="autoZero"/>
        <c:crossBetween val="between"/>
      </c:valAx>
      <c:valAx>
        <c:axId val="6204016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402224"/>
        <c:crosses val="max"/>
        <c:crossBetween val="between"/>
      </c:valAx>
      <c:catAx>
        <c:axId val="620402224"/>
        <c:scaling>
          <c:orientation val="minMax"/>
        </c:scaling>
        <c:delete val="1"/>
        <c:axPos val="b"/>
        <c:majorTickMark val="out"/>
        <c:minorTickMark val="none"/>
        <c:tickLblPos val="nextTo"/>
        <c:crossAx val="620401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Absolute pathway: Other Industry vs Revised OEM vs Old OEM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'Raw data B2DS'!$B$136</c:f>
              <c:strCache>
                <c:ptCount val="1"/>
                <c:pt idx="0">
                  <c:v>OLD OEM S2 intensity</c:v>
                </c:pt>
              </c:strCache>
            </c:strRef>
          </c:tx>
          <c:spPr>
            <a:ln w="28575" cap="rnd">
              <a:solidFill>
                <a:schemeClr val="accent1"/>
              </a:solidFill>
              <a:prstDash val="sysDash"/>
              <a:round/>
            </a:ln>
            <a:effectLst/>
          </c:spPr>
          <c:marker>
            <c:symbol val="none"/>
          </c:marker>
          <c:cat>
            <c:numRef>
              <c:f>'Raw data B2DS'!$F$89:$AT$89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B2DS'!$F$136:$AT$136</c:f>
              <c:numCache>
                <c:formatCode>General</c:formatCode>
                <c:ptCount val="41"/>
                <c:pt idx="2" formatCode="#,##0.00">
                  <c:v>482.8115183765791</c:v>
                </c:pt>
                <c:pt idx="3" formatCode="#,##0.00">
                  <c:v>499.4770745047918</c:v>
                </c:pt>
                <c:pt idx="4" formatCode="#,##0.00">
                  <c:v>516.1426306330045</c:v>
                </c:pt>
                <c:pt idx="5" formatCode="#,##0.00">
                  <c:v>532.80818676121714</c:v>
                </c:pt>
                <c:pt idx="6" formatCode="#,##0.00">
                  <c:v>522.66287205421781</c:v>
                </c:pt>
                <c:pt idx="7" formatCode="#,##0.00">
                  <c:v>512.51755734721849</c:v>
                </c:pt>
                <c:pt idx="8" formatCode="#,##0.00">
                  <c:v>502.3722426402191</c:v>
                </c:pt>
                <c:pt idx="9" formatCode="#,##0.00">
                  <c:v>492.22692793321977</c:v>
                </c:pt>
                <c:pt idx="10" formatCode="#,##0.00">
                  <c:v>482.08161322622044</c:v>
                </c:pt>
                <c:pt idx="11" formatCode="#,##0.00">
                  <c:v>448.11532376694049</c:v>
                </c:pt>
                <c:pt idx="12" formatCode="#,##0.00">
                  <c:v>414.1490343076606</c:v>
                </c:pt>
                <c:pt idx="13" formatCode="#,##0.00">
                  <c:v>380.18274484838065</c:v>
                </c:pt>
                <c:pt idx="14" formatCode="#,##0.00">
                  <c:v>346.2164553891007</c:v>
                </c:pt>
                <c:pt idx="15" formatCode="#,##0.00">
                  <c:v>312.25016592982075</c:v>
                </c:pt>
                <c:pt idx="16" formatCode="#,##0.00">
                  <c:v>290.04835769236371</c:v>
                </c:pt>
                <c:pt idx="17" formatCode="#,##0.00">
                  <c:v>267.84654945490666</c:v>
                </c:pt>
                <c:pt idx="18" formatCode="#,##0.00">
                  <c:v>245.64474121744959</c:v>
                </c:pt>
                <c:pt idx="19" formatCode="#,##0.00">
                  <c:v>223.44293297999252</c:v>
                </c:pt>
                <c:pt idx="20" formatCode="#,##0.00">
                  <c:v>201.24112474253548</c:v>
                </c:pt>
                <c:pt idx="21" formatCode="#,##0.00">
                  <c:v>186.26221894086018</c:v>
                </c:pt>
                <c:pt idx="22" formatCode="#,##0.00">
                  <c:v>171.28331313918488</c:v>
                </c:pt>
                <c:pt idx="23" formatCode="#,##0.00">
                  <c:v>156.30440733750959</c:v>
                </c:pt>
                <c:pt idx="24" formatCode="#,##0.00">
                  <c:v>141.32550153583432</c:v>
                </c:pt>
                <c:pt idx="25" formatCode="#,##0.00">
                  <c:v>126.34659573415902</c:v>
                </c:pt>
                <c:pt idx="26" formatCode="#,##0.00">
                  <c:v>117.13778310875468</c:v>
                </c:pt>
                <c:pt idx="27" formatCode="#,##0.00">
                  <c:v>107.92897048335033</c:v>
                </c:pt>
                <c:pt idx="28" formatCode="#,##0.00">
                  <c:v>98.720157857945964</c:v>
                </c:pt>
                <c:pt idx="29" formatCode="#,##0.00">
                  <c:v>89.511345232541615</c:v>
                </c:pt>
                <c:pt idx="30" formatCode="#,##0.00">
                  <c:v>80.302532607137266</c:v>
                </c:pt>
                <c:pt idx="31" formatCode="#,##0.00">
                  <c:v>73.343367351897427</c:v>
                </c:pt>
                <c:pt idx="32" formatCode="#,##0.00">
                  <c:v>66.384202096657603</c:v>
                </c:pt>
                <c:pt idx="33" formatCode="#,##0.00">
                  <c:v>59.425036841417764</c:v>
                </c:pt>
                <c:pt idx="34" formatCode="#,##0.00">
                  <c:v>52.465871586177933</c:v>
                </c:pt>
                <c:pt idx="35" formatCode="#,##0.00">
                  <c:v>45.506706330938101</c:v>
                </c:pt>
                <c:pt idx="36" formatCode="#,##0.00">
                  <c:v>42.602741617672599</c:v>
                </c:pt>
                <c:pt idx="37" formatCode="#,##0.00">
                  <c:v>39.698776904407097</c:v>
                </c:pt>
                <c:pt idx="38" formatCode="#,##0.00">
                  <c:v>36.794812191141602</c:v>
                </c:pt>
                <c:pt idx="39" formatCode="#,##0.00">
                  <c:v>33.890847477876093</c:v>
                </c:pt>
                <c:pt idx="40" formatCode="#,##0.00">
                  <c:v>30.986882764610595</c:v>
                </c:pt>
              </c:numCache>
            </c:numRef>
          </c:val>
          <c:smooth val="0"/>
        </c:ser>
        <c:ser>
          <c:idx val="0"/>
          <c:order val="1"/>
          <c:tx>
            <c:strRef>
              <c:f>'Raw data B2DS'!$B$135</c:f>
              <c:strCache>
                <c:ptCount val="1"/>
                <c:pt idx="0">
                  <c:v>OLD OEM S1 intensity</c:v>
                </c:pt>
              </c:strCache>
            </c:strRef>
          </c:tx>
          <c:spPr>
            <a:ln w="28575" cap="rnd">
              <a:solidFill>
                <a:schemeClr val="accent2"/>
              </a:solidFill>
              <a:prstDash val="sysDash"/>
              <a:round/>
            </a:ln>
            <a:effectLst/>
          </c:spPr>
          <c:marker>
            <c:symbol val="none"/>
          </c:marker>
          <c:cat>
            <c:numRef>
              <c:f>'Raw data B2DS'!$F$89:$AT$89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B2DS'!$F$135:$AT$135</c:f>
              <c:numCache>
                <c:formatCode>General</c:formatCode>
                <c:ptCount val="41"/>
                <c:pt idx="2" formatCode="#,##0.00">
                  <c:v>273.59786022874698</c:v>
                </c:pt>
                <c:pt idx="3" formatCode="#,##0.00">
                  <c:v>262.91246372440855</c:v>
                </c:pt>
                <c:pt idx="4" formatCode="#,##0.00">
                  <c:v>252.22706722007013</c:v>
                </c:pt>
                <c:pt idx="5" formatCode="#,##0.00">
                  <c:v>241.5416707157317</c:v>
                </c:pt>
                <c:pt idx="6" formatCode="#,##0.00">
                  <c:v>231.17225300962619</c:v>
                </c:pt>
                <c:pt idx="7" formatCode="#,##0.00">
                  <c:v>220.80283530352071</c:v>
                </c:pt>
                <c:pt idx="8" formatCode="#,##0.00">
                  <c:v>210.4334175974152</c:v>
                </c:pt>
                <c:pt idx="9" formatCode="#,##0.00">
                  <c:v>200.06399989130972</c:v>
                </c:pt>
                <c:pt idx="10" formatCode="#,##0.00">
                  <c:v>189.69458218520421</c:v>
                </c:pt>
                <c:pt idx="11" formatCode="#,##0.00">
                  <c:v>184.86766121963299</c:v>
                </c:pt>
                <c:pt idx="12" formatCode="#,##0.00">
                  <c:v>180.0407402540618</c:v>
                </c:pt>
                <c:pt idx="13" formatCode="#,##0.00">
                  <c:v>175.21381928849058</c:v>
                </c:pt>
                <c:pt idx="14" formatCode="#,##0.00">
                  <c:v>170.38689832291939</c:v>
                </c:pt>
                <c:pt idx="15" formatCode="#,##0.00">
                  <c:v>165.55997735734817</c:v>
                </c:pt>
                <c:pt idx="16" formatCode="#,##0.00">
                  <c:v>158.58816528932559</c:v>
                </c:pt>
                <c:pt idx="17" formatCode="#,##0.00">
                  <c:v>151.616353221303</c:v>
                </c:pt>
                <c:pt idx="18" formatCode="#,##0.00">
                  <c:v>144.64454115328039</c:v>
                </c:pt>
                <c:pt idx="19" formatCode="#,##0.00">
                  <c:v>137.6727290852578</c:v>
                </c:pt>
                <c:pt idx="20" formatCode="#,##0.00">
                  <c:v>130.70091701723521</c:v>
                </c:pt>
                <c:pt idx="21" formatCode="#,##0.00">
                  <c:v>128.42642464524369</c:v>
                </c:pt>
                <c:pt idx="22" formatCode="#,##0.00">
                  <c:v>126.15193227325214</c:v>
                </c:pt>
                <c:pt idx="23" formatCode="#,##0.00">
                  <c:v>123.8774399012606</c:v>
                </c:pt>
                <c:pt idx="24" formatCode="#,##0.00">
                  <c:v>121.60294752926907</c:v>
                </c:pt>
                <c:pt idx="25" formatCode="#,##0.00">
                  <c:v>119.32845515727753</c:v>
                </c:pt>
                <c:pt idx="26" formatCode="#,##0.00">
                  <c:v>116.50388161937026</c:v>
                </c:pt>
                <c:pt idx="27" formatCode="#,##0.00">
                  <c:v>113.67930808146299</c:v>
                </c:pt>
                <c:pt idx="28" formatCode="#,##0.00">
                  <c:v>110.85473454355574</c:v>
                </c:pt>
                <c:pt idx="29" formatCode="#,##0.00">
                  <c:v>108.03016100564847</c:v>
                </c:pt>
                <c:pt idx="30" formatCode="#,##0.00">
                  <c:v>105.2055874677412</c:v>
                </c:pt>
                <c:pt idx="31" formatCode="#,##0.00">
                  <c:v>102.53503399220023</c:v>
                </c:pt>
                <c:pt idx="32" formatCode="#,##0.00">
                  <c:v>99.864480516659256</c:v>
                </c:pt>
                <c:pt idx="33" formatCode="#,##0.00">
                  <c:v>97.193927041118286</c:v>
                </c:pt>
                <c:pt idx="34" formatCode="#,##0.00">
                  <c:v>94.523373565577316</c:v>
                </c:pt>
                <c:pt idx="35" formatCode="#,##0.00">
                  <c:v>91.852820090036346</c:v>
                </c:pt>
                <c:pt idx="36" formatCode="#,##0.00">
                  <c:v>90.521881414977642</c:v>
                </c:pt>
                <c:pt idx="37" formatCode="#,##0.00">
                  <c:v>89.190942739918952</c:v>
                </c:pt>
                <c:pt idx="38" formatCode="#,##0.00">
                  <c:v>87.860004064860249</c:v>
                </c:pt>
                <c:pt idx="39" formatCode="#,##0.00">
                  <c:v>86.529065389801559</c:v>
                </c:pt>
                <c:pt idx="40" formatCode="#,##0.00">
                  <c:v>85.198126714742855</c:v>
                </c:pt>
              </c:numCache>
            </c:numRef>
          </c:val>
          <c:smooth val="0"/>
        </c:ser>
        <c:dLbls>
          <c:showLegendKey val="0"/>
          <c:showVal val="0"/>
          <c:showCatName val="0"/>
          <c:showSerName val="0"/>
          <c:showPercent val="0"/>
          <c:showBubbleSize val="0"/>
        </c:dLbls>
        <c:marker val="1"/>
        <c:smooth val="0"/>
        <c:axId val="616195600"/>
        <c:axId val="616196160"/>
      </c:lineChart>
      <c:lineChart>
        <c:grouping val="standard"/>
        <c:varyColors val="0"/>
        <c:ser>
          <c:idx val="2"/>
          <c:order val="2"/>
          <c:tx>
            <c:strRef>
              <c:f>'Raw data B2DS'!$B$101</c:f>
              <c:strCache>
                <c:ptCount val="1"/>
                <c:pt idx="0">
                  <c:v>OEM Scope 2 intensity (kgCO2/car)</c:v>
                </c:pt>
              </c:strCache>
            </c:strRef>
          </c:tx>
          <c:spPr>
            <a:ln w="28575" cap="rnd">
              <a:solidFill>
                <a:schemeClr val="accent1"/>
              </a:solidFill>
              <a:round/>
            </a:ln>
            <a:effectLst/>
          </c:spPr>
          <c:marker>
            <c:symbol val="none"/>
          </c:marker>
          <c:val>
            <c:numRef>
              <c:f>'Raw data B2DS'!$F$101:$AT$101</c:f>
              <c:numCache>
                <c:formatCode>General</c:formatCode>
                <c:ptCount val="41"/>
                <c:pt idx="2" formatCode="#,##0.00">
                  <c:v>482.8115183765791</c:v>
                </c:pt>
                <c:pt idx="3" formatCode="#,##0.00">
                  <c:v>501.04559327886631</c:v>
                </c:pt>
                <c:pt idx="4" formatCode="#,##0.00">
                  <c:v>517.64065435965358</c:v>
                </c:pt>
                <c:pt idx="5" formatCode="#,##0.00">
                  <c:v>532.80818676121714</c:v>
                </c:pt>
                <c:pt idx="6" formatCode="#,##0.00">
                  <c:v>506.60860442645605</c:v>
                </c:pt>
                <c:pt idx="7" formatCode="#,##0.00">
                  <c:v>480.98114369565928</c:v>
                </c:pt>
                <c:pt idx="8" formatCode="#,##0.00">
                  <c:v>455.90726680132599</c:v>
                </c:pt>
                <c:pt idx="9" formatCode="#,##0.00">
                  <c:v>431.36922829438936</c:v>
                </c:pt>
                <c:pt idx="10" formatCode="#,##0.00">
                  <c:v>407.35003316137016</c:v>
                </c:pt>
                <c:pt idx="11" formatCode="#,##0.00">
                  <c:v>389.10623324000909</c:v>
                </c:pt>
                <c:pt idx="12" formatCode="#,##0.00">
                  <c:v>370.74779638721594</c:v>
                </c:pt>
                <c:pt idx="13" formatCode="#,##0.00">
                  <c:v>352.27363869684206</c:v>
                </c:pt>
                <c:pt idx="14" formatCode="#,##0.00">
                  <c:v>333.68266255491613</c:v>
                </c:pt>
                <c:pt idx="15" formatCode="#,##0.00">
                  <c:v>314.97375642225882</c:v>
                </c:pt>
                <c:pt idx="16" formatCode="#,##0.00">
                  <c:v>286.13690701949264</c:v>
                </c:pt>
                <c:pt idx="17" formatCode="#,##0.00">
                  <c:v>259.28088784127044</c:v>
                </c:pt>
                <c:pt idx="18" formatCode="#,##0.00">
                  <c:v>234.20837832657554</c:v>
                </c:pt>
                <c:pt idx="19" formatCode="#,##0.00">
                  <c:v>210.74742377813649</c:v>
                </c:pt>
                <c:pt idx="20" formatCode="#,##0.00">
                  <c:v>188.7474862521465</c:v>
                </c:pt>
                <c:pt idx="21" formatCode="#,##0.00">
                  <c:v>175.41156886662114</c:v>
                </c:pt>
                <c:pt idx="22" formatCode="#,##0.00">
                  <c:v>162.14814874612676</c:v>
                </c:pt>
                <c:pt idx="23" formatCode="#,##0.00">
                  <c:v>148.95663632423529</c:v>
                </c:pt>
                <c:pt idx="24" formatCode="#,##0.00">
                  <c:v>135.8364484099111</c:v>
                </c:pt>
                <c:pt idx="25" formatCode="#,##0.00">
                  <c:v>122.7870081015667</c:v>
                </c:pt>
                <c:pt idx="26" formatCode="#,##0.00">
                  <c:v>110.59326106485918</c:v>
                </c:pt>
                <c:pt idx="27" formatCode="#,##0.00">
                  <c:v>98.670663820561828</c:v>
                </c:pt>
                <c:pt idx="28" formatCode="#,##0.00">
                  <c:v>87.010271568994156</c:v>
                </c:pt>
                <c:pt idx="29" formatCode="#,##0.00">
                  <c:v>75.603528664210344</c:v>
                </c:pt>
                <c:pt idx="30" formatCode="#,##0.00">
                  <c:v>64.442247678482516</c:v>
                </c:pt>
                <c:pt idx="31" formatCode="#,##0.00">
                  <c:v>53.709437289970083</c:v>
                </c:pt>
                <c:pt idx="32" formatCode="#,##0.00">
                  <c:v>43.604398915081724</c:v>
                </c:pt>
                <c:pt idx="33" formatCode="#,##0.00">
                  <c:v>34.07361912948862</c:v>
                </c:pt>
                <c:pt idx="34" formatCode="#,##0.00">
                  <c:v>25.069498682793878</c:v>
                </c:pt>
                <c:pt idx="35" formatCode="#,##0.00">
                  <c:v>16.549557440301911</c:v>
                </c:pt>
                <c:pt idx="36" formatCode="#,##0.00">
                  <c:v>11.819837151046098</c:v>
                </c:pt>
                <c:pt idx="37" formatCode="#,##0.00">
                  <c:v>7.1083679635600392</c:v>
                </c:pt>
                <c:pt idx="38" formatCode="#,##0.00">
                  <c:v>2.4150444399184359</c:v>
                </c:pt>
                <c:pt idx="39" formatCode="#,##0.00">
                  <c:v>-2.2602380472017005</c:v>
                </c:pt>
                <c:pt idx="40" formatCode="#,##0.00">
                  <c:v>-6.9175833222959371</c:v>
                </c:pt>
              </c:numCache>
            </c:numRef>
          </c:val>
          <c:smooth val="0"/>
        </c:ser>
        <c:ser>
          <c:idx val="3"/>
          <c:order val="3"/>
          <c:tx>
            <c:strRef>
              <c:f>'Raw data B2DS'!$B$102</c:f>
              <c:strCache>
                <c:ptCount val="1"/>
                <c:pt idx="0">
                  <c:v>OEM Scope 1 intensity (kgCO2/car)</c:v>
                </c:pt>
              </c:strCache>
            </c:strRef>
          </c:tx>
          <c:spPr>
            <a:ln w="28575" cap="rnd">
              <a:solidFill>
                <a:schemeClr val="accent2"/>
              </a:solidFill>
              <a:round/>
            </a:ln>
            <a:effectLst/>
          </c:spPr>
          <c:marker>
            <c:symbol val="none"/>
          </c:marker>
          <c:val>
            <c:numRef>
              <c:f>'Raw data B2DS'!$F$102:$AT$102</c:f>
              <c:numCache>
                <c:formatCode>General</c:formatCode>
                <c:ptCount val="41"/>
                <c:pt idx="2" formatCode="#,##0.00">
                  <c:v>273.59786022874698</c:v>
                </c:pt>
                <c:pt idx="3" formatCode="#,##0.00">
                  <c:v>261.90678201198671</c:v>
                </c:pt>
                <c:pt idx="4" formatCode="#,##0.00">
                  <c:v>251.26658457136608</c:v>
                </c:pt>
                <c:pt idx="5" formatCode="#,##0.00">
                  <c:v>241.54167071573167</c:v>
                </c:pt>
                <c:pt idx="6" formatCode="#,##0.00">
                  <c:v>233.94147346715911</c:v>
                </c:pt>
                <c:pt idx="7" formatCode="#,##0.00">
                  <c:v>226.50724211013159</c:v>
                </c:pt>
                <c:pt idx="8" formatCode="#,##0.00">
                  <c:v>219.23359905168783</c:v>
                </c:pt>
                <c:pt idx="9" formatCode="#,##0.00">
                  <c:v>212.11539654132369</c:v>
                </c:pt>
                <c:pt idx="10" formatCode="#,##0.00">
                  <c:v>205.14770452126061</c:v>
                </c:pt>
                <c:pt idx="11" formatCode="#,##0.00">
                  <c:v>201.05026082875585</c:v>
                </c:pt>
                <c:pt idx="12" formatCode="#,##0.00">
                  <c:v>196.92707039633675</c:v>
                </c:pt>
                <c:pt idx="13" formatCode="#,##0.00">
                  <c:v>192.77788978544163</c:v>
                </c:pt>
                <c:pt idx="14" formatCode="#,##0.00">
                  <c:v>188.60247247881742</c:v>
                </c:pt>
                <c:pt idx="15" formatCode="#,##0.00">
                  <c:v>184.40056883169603</c:v>
                </c:pt>
                <c:pt idx="16" formatCode="#,##0.00">
                  <c:v>173.76317113560361</c:v>
                </c:pt>
                <c:pt idx="17" formatCode="#,##0.00">
                  <c:v>163.85646626148409</c:v>
                </c:pt>
                <c:pt idx="18" formatCode="#,##0.00">
                  <c:v>154.60766618551995</c:v>
                </c:pt>
                <c:pt idx="19" formatCode="#,##0.00">
                  <c:v>145.95333989709562</c:v>
                </c:pt>
                <c:pt idx="20" formatCode="#,##0.00">
                  <c:v>137.83795664268592</c:v>
                </c:pt>
                <c:pt idx="21" formatCode="#,##0.00">
                  <c:v>135.96697002114971</c:v>
                </c:pt>
                <c:pt idx="22" formatCode="#,##0.00">
                  <c:v>134.10615453438064</c:v>
                </c:pt>
                <c:pt idx="23" formatCode="#,##0.00">
                  <c:v>132.25542746809154</c:v>
                </c:pt>
                <c:pt idx="24" formatCode="#,##0.00">
                  <c:v>130.4147070024425</c:v>
                </c:pt>
                <c:pt idx="25" formatCode="#,##0.00">
                  <c:v>128.58391219998313</c:v>
                </c:pt>
                <c:pt idx="26" formatCode="#,##0.00">
                  <c:v>125.87737732312002</c:v>
                </c:pt>
                <c:pt idx="27" formatCode="#,##0.00">
                  <c:v>123.23102709399504</c:v>
                </c:pt>
                <c:pt idx="28" formatCode="#,##0.00">
                  <c:v>120.64287611696003</c:v>
                </c:pt>
                <c:pt idx="29" formatCode="#,##0.00">
                  <c:v>118.11102537327389</c:v>
                </c:pt>
                <c:pt idx="30" formatCode="#,##0.00">
                  <c:v>115.63365757423693</c:v>
                </c:pt>
                <c:pt idx="31" formatCode="#,##0.00">
                  <c:v>110.18353963003167</c:v>
                </c:pt>
                <c:pt idx="32" formatCode="#,##0.00">
                  <c:v>105.05220412886523</c:v>
                </c:pt>
                <c:pt idx="33" formatCode="#,##0.00">
                  <c:v>100.21247696967438</c:v>
                </c:pt>
                <c:pt idx="34" formatCode="#,##0.00">
                  <c:v>95.640187267171015</c:v>
                </c:pt>
                <c:pt idx="35" formatCode="#,##0.00">
                  <c:v>91.313763621507789</c:v>
                </c:pt>
                <c:pt idx="36" formatCode="#,##0.00">
                  <c:v>89.413399514814429</c:v>
                </c:pt>
                <c:pt idx="37" formatCode="#,##0.00">
                  <c:v>87.520368556085359</c:v>
                </c:pt>
                <c:pt idx="38" formatCode="#,##0.00">
                  <c:v>85.634628381198311</c:v>
                </c:pt>
                <c:pt idx="39" formatCode="#,##0.00">
                  <c:v>83.756136951724542</c:v>
                </c:pt>
                <c:pt idx="40" formatCode="#,##0.00">
                  <c:v>81.884852551805068</c:v>
                </c:pt>
              </c:numCache>
            </c:numRef>
          </c:val>
          <c:smooth val="0"/>
        </c:ser>
        <c:dLbls>
          <c:showLegendKey val="0"/>
          <c:showVal val="0"/>
          <c:showCatName val="0"/>
          <c:showSerName val="0"/>
          <c:showPercent val="0"/>
          <c:showBubbleSize val="0"/>
        </c:dLbls>
        <c:marker val="1"/>
        <c:smooth val="0"/>
        <c:axId val="543502960"/>
        <c:axId val="543502400"/>
        <c:extLst>
          <c:ext xmlns:c15="http://schemas.microsoft.com/office/drawing/2012/chart" uri="{02D57815-91ED-43cb-92C2-25804820EDAC}">
            <c15:filteredLineSeries>
              <c15:ser>
                <c:idx val="4"/>
                <c:order val="4"/>
                <c:tx>
                  <c:strRef>
                    <c:extLst>
                      <c:ext uri="{02D57815-91ED-43cb-92C2-25804820EDAC}">
                        <c15:formulaRef>
                          <c15:sqref>'Raw data B2DS'!$B$101</c15:sqref>
                        </c15:formulaRef>
                      </c:ext>
                    </c:extLst>
                    <c:strCache>
                      <c:ptCount val="1"/>
                      <c:pt idx="0">
                        <c:v>OEM Scope 2 intensity (kgCO2/car)</c:v>
                      </c:pt>
                    </c:strCache>
                  </c:strRef>
                </c:tx>
                <c:spPr>
                  <a:ln w="28575" cap="rnd">
                    <a:solidFill>
                      <a:schemeClr val="accent5"/>
                    </a:solidFill>
                    <a:round/>
                  </a:ln>
                  <a:effectLst/>
                </c:spPr>
                <c:marker>
                  <c:symbol val="none"/>
                </c:marker>
                <c:val>
                  <c:numRef>
                    <c:extLst>
                      <c:ext uri="{02D57815-91ED-43cb-92C2-25804820EDAC}">
                        <c15:formulaRef>
                          <c15:sqref>'Raw data B2DS'!$F$101:$AT$101</c15:sqref>
                        </c15:formulaRef>
                      </c:ext>
                    </c:extLst>
                    <c:numCache>
                      <c:formatCode>General</c:formatCode>
                      <c:ptCount val="41"/>
                      <c:pt idx="2" formatCode="#,##0.00">
                        <c:v>482.8115183765791</c:v>
                      </c:pt>
                      <c:pt idx="3" formatCode="#,##0.00">
                        <c:v>501.04559327886631</c:v>
                      </c:pt>
                      <c:pt idx="4" formatCode="#,##0.00">
                        <c:v>517.64065435965358</c:v>
                      </c:pt>
                      <c:pt idx="5" formatCode="#,##0.00">
                        <c:v>532.80818676121714</c:v>
                      </c:pt>
                      <c:pt idx="6" formatCode="#,##0.00">
                        <c:v>506.60860442645605</c:v>
                      </c:pt>
                      <c:pt idx="7" formatCode="#,##0.00">
                        <c:v>480.98114369565928</c:v>
                      </c:pt>
                      <c:pt idx="8" formatCode="#,##0.00">
                        <c:v>455.90726680132599</c:v>
                      </c:pt>
                      <c:pt idx="9" formatCode="#,##0.00">
                        <c:v>431.36922829438936</c:v>
                      </c:pt>
                      <c:pt idx="10" formatCode="#,##0.00">
                        <c:v>407.35003316137016</c:v>
                      </c:pt>
                      <c:pt idx="11" formatCode="#,##0.00">
                        <c:v>389.10623324000909</c:v>
                      </c:pt>
                      <c:pt idx="12" formatCode="#,##0.00">
                        <c:v>370.74779638721594</c:v>
                      </c:pt>
                      <c:pt idx="13" formatCode="#,##0.00">
                        <c:v>352.27363869684206</c:v>
                      </c:pt>
                      <c:pt idx="14" formatCode="#,##0.00">
                        <c:v>333.68266255491613</c:v>
                      </c:pt>
                      <c:pt idx="15" formatCode="#,##0.00">
                        <c:v>314.97375642225882</c:v>
                      </c:pt>
                      <c:pt idx="16" formatCode="#,##0.00">
                        <c:v>286.13690701949264</c:v>
                      </c:pt>
                      <c:pt idx="17" formatCode="#,##0.00">
                        <c:v>259.28088784127044</c:v>
                      </c:pt>
                      <c:pt idx="18" formatCode="#,##0.00">
                        <c:v>234.20837832657554</c:v>
                      </c:pt>
                      <c:pt idx="19" formatCode="#,##0.00">
                        <c:v>210.74742377813649</c:v>
                      </c:pt>
                      <c:pt idx="20" formatCode="#,##0.00">
                        <c:v>188.7474862521465</c:v>
                      </c:pt>
                      <c:pt idx="21" formatCode="#,##0.00">
                        <c:v>175.41156886662114</c:v>
                      </c:pt>
                      <c:pt idx="22" formatCode="#,##0.00">
                        <c:v>162.14814874612676</c:v>
                      </c:pt>
                      <c:pt idx="23" formatCode="#,##0.00">
                        <c:v>148.95663632423529</c:v>
                      </c:pt>
                      <c:pt idx="24" formatCode="#,##0.00">
                        <c:v>135.8364484099111</c:v>
                      </c:pt>
                      <c:pt idx="25" formatCode="#,##0.00">
                        <c:v>122.7870081015667</c:v>
                      </c:pt>
                      <c:pt idx="26" formatCode="#,##0.00">
                        <c:v>110.59326106485918</c:v>
                      </c:pt>
                      <c:pt idx="27" formatCode="#,##0.00">
                        <c:v>98.670663820561828</c:v>
                      </c:pt>
                      <c:pt idx="28" formatCode="#,##0.00">
                        <c:v>87.010271568994156</c:v>
                      </c:pt>
                      <c:pt idx="29" formatCode="#,##0.00">
                        <c:v>75.603528664210344</c:v>
                      </c:pt>
                      <c:pt idx="30" formatCode="#,##0.00">
                        <c:v>64.442247678482516</c:v>
                      </c:pt>
                      <c:pt idx="31" formatCode="#,##0.00">
                        <c:v>53.709437289970083</c:v>
                      </c:pt>
                      <c:pt idx="32" formatCode="#,##0.00">
                        <c:v>43.604398915081724</c:v>
                      </c:pt>
                      <c:pt idx="33" formatCode="#,##0.00">
                        <c:v>34.07361912948862</c:v>
                      </c:pt>
                      <c:pt idx="34" formatCode="#,##0.00">
                        <c:v>25.069498682793878</c:v>
                      </c:pt>
                      <c:pt idx="35" formatCode="#,##0.00">
                        <c:v>16.549557440301911</c:v>
                      </c:pt>
                      <c:pt idx="36" formatCode="#,##0.00">
                        <c:v>11.819837151046098</c:v>
                      </c:pt>
                      <c:pt idx="37" formatCode="#,##0.00">
                        <c:v>7.1083679635600392</c:v>
                      </c:pt>
                      <c:pt idx="38" formatCode="#,##0.00">
                        <c:v>2.4150444399184359</c:v>
                      </c:pt>
                      <c:pt idx="39" formatCode="#,##0.00">
                        <c:v>-2.2602380472017005</c:v>
                      </c:pt>
                      <c:pt idx="40" formatCode="#,##0.00">
                        <c:v>-6.9175833222959371</c:v>
                      </c:pt>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'Raw data B2DS'!$B$102</c15:sqref>
                        </c15:formulaRef>
                      </c:ext>
                    </c:extLst>
                    <c:strCache>
                      <c:ptCount val="1"/>
                      <c:pt idx="0">
                        <c:v>OEM Scope 1 intensity (kgCO2/car)</c:v>
                      </c:pt>
                    </c:strCache>
                  </c:strRef>
                </c:tx>
                <c:spPr>
                  <a:ln w="28575" cap="rnd">
                    <a:solidFill>
                      <a:schemeClr val="accent6"/>
                    </a:solidFill>
                    <a:round/>
                  </a:ln>
                  <a:effectLst/>
                </c:spPr>
                <c:marker>
                  <c:symbol val="none"/>
                </c:marker>
                <c:val>
                  <c:numRef>
                    <c:extLst xmlns:c15="http://schemas.microsoft.com/office/drawing/2012/chart">
                      <c:ext xmlns:c15="http://schemas.microsoft.com/office/drawing/2012/chart" uri="{02D57815-91ED-43cb-92C2-25804820EDAC}">
                        <c15:formulaRef>
                          <c15:sqref>'Raw data B2DS'!$F$102:$AT$102</c15:sqref>
                        </c15:formulaRef>
                      </c:ext>
                    </c:extLst>
                    <c:numCache>
                      <c:formatCode>General</c:formatCode>
                      <c:ptCount val="41"/>
                      <c:pt idx="2" formatCode="#,##0.00">
                        <c:v>273.59786022874698</c:v>
                      </c:pt>
                      <c:pt idx="3" formatCode="#,##0.00">
                        <c:v>261.90678201198671</c:v>
                      </c:pt>
                      <c:pt idx="4" formatCode="#,##0.00">
                        <c:v>251.26658457136608</c:v>
                      </c:pt>
                      <c:pt idx="5" formatCode="#,##0.00">
                        <c:v>241.54167071573167</c:v>
                      </c:pt>
                      <c:pt idx="6" formatCode="#,##0.00">
                        <c:v>233.94147346715911</c:v>
                      </c:pt>
                      <c:pt idx="7" formatCode="#,##0.00">
                        <c:v>226.50724211013159</c:v>
                      </c:pt>
                      <c:pt idx="8" formatCode="#,##0.00">
                        <c:v>219.23359905168783</c:v>
                      </c:pt>
                      <c:pt idx="9" formatCode="#,##0.00">
                        <c:v>212.11539654132369</c:v>
                      </c:pt>
                      <c:pt idx="10" formatCode="#,##0.00">
                        <c:v>205.14770452126061</c:v>
                      </c:pt>
                      <c:pt idx="11" formatCode="#,##0.00">
                        <c:v>201.05026082875585</c:v>
                      </c:pt>
                      <c:pt idx="12" formatCode="#,##0.00">
                        <c:v>196.92707039633675</c:v>
                      </c:pt>
                      <c:pt idx="13" formatCode="#,##0.00">
                        <c:v>192.77788978544163</c:v>
                      </c:pt>
                      <c:pt idx="14" formatCode="#,##0.00">
                        <c:v>188.60247247881742</c:v>
                      </c:pt>
                      <c:pt idx="15" formatCode="#,##0.00">
                        <c:v>184.40056883169603</c:v>
                      </c:pt>
                      <c:pt idx="16" formatCode="#,##0.00">
                        <c:v>173.76317113560361</c:v>
                      </c:pt>
                      <c:pt idx="17" formatCode="#,##0.00">
                        <c:v>163.85646626148409</c:v>
                      </c:pt>
                      <c:pt idx="18" formatCode="#,##0.00">
                        <c:v>154.60766618551995</c:v>
                      </c:pt>
                      <c:pt idx="19" formatCode="#,##0.00">
                        <c:v>145.95333989709562</c:v>
                      </c:pt>
                      <c:pt idx="20" formatCode="#,##0.00">
                        <c:v>137.83795664268592</c:v>
                      </c:pt>
                      <c:pt idx="21" formatCode="#,##0.00">
                        <c:v>135.96697002114971</c:v>
                      </c:pt>
                      <c:pt idx="22" formatCode="#,##0.00">
                        <c:v>134.10615453438064</c:v>
                      </c:pt>
                      <c:pt idx="23" formatCode="#,##0.00">
                        <c:v>132.25542746809154</c:v>
                      </c:pt>
                      <c:pt idx="24" formatCode="#,##0.00">
                        <c:v>130.4147070024425</c:v>
                      </c:pt>
                      <c:pt idx="25" formatCode="#,##0.00">
                        <c:v>128.58391219998313</c:v>
                      </c:pt>
                      <c:pt idx="26" formatCode="#,##0.00">
                        <c:v>125.87737732312002</c:v>
                      </c:pt>
                      <c:pt idx="27" formatCode="#,##0.00">
                        <c:v>123.23102709399504</c:v>
                      </c:pt>
                      <c:pt idx="28" formatCode="#,##0.00">
                        <c:v>120.64287611696003</c:v>
                      </c:pt>
                      <c:pt idx="29" formatCode="#,##0.00">
                        <c:v>118.11102537327389</c:v>
                      </c:pt>
                      <c:pt idx="30" formatCode="#,##0.00">
                        <c:v>115.63365757423693</c:v>
                      </c:pt>
                      <c:pt idx="31" formatCode="#,##0.00">
                        <c:v>110.18353963003167</c:v>
                      </c:pt>
                      <c:pt idx="32" formatCode="#,##0.00">
                        <c:v>105.05220412886523</c:v>
                      </c:pt>
                      <c:pt idx="33" formatCode="#,##0.00">
                        <c:v>100.21247696967438</c:v>
                      </c:pt>
                      <c:pt idx="34" formatCode="#,##0.00">
                        <c:v>95.640187267171015</c:v>
                      </c:pt>
                      <c:pt idx="35" formatCode="#,##0.00">
                        <c:v>91.313763621507789</c:v>
                      </c:pt>
                      <c:pt idx="36" formatCode="#,##0.00">
                        <c:v>89.413399514814429</c:v>
                      </c:pt>
                      <c:pt idx="37" formatCode="#,##0.00">
                        <c:v>87.520368556085359</c:v>
                      </c:pt>
                      <c:pt idx="38" formatCode="#,##0.00">
                        <c:v>85.634628381198311</c:v>
                      </c:pt>
                      <c:pt idx="39" formatCode="#,##0.00">
                        <c:v>83.756136951724542</c:v>
                      </c:pt>
                      <c:pt idx="40" formatCode="#,##0.00">
                        <c:v>81.884852551805068</c:v>
                      </c:pt>
                    </c:numCache>
                  </c:numRef>
                </c:val>
                <c:smooth val="0"/>
              </c15:ser>
            </c15:filteredLineSeries>
          </c:ext>
        </c:extLst>
      </c:lineChart>
      <c:catAx>
        <c:axId val="61619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196160"/>
        <c:crosses val="autoZero"/>
        <c:auto val="1"/>
        <c:lblAlgn val="ctr"/>
        <c:lblOffset val="100"/>
        <c:noMultiLvlLbl val="0"/>
      </c:catAx>
      <c:valAx>
        <c:axId val="6161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195600"/>
        <c:crosses val="autoZero"/>
        <c:crossBetween val="between"/>
      </c:valAx>
      <c:valAx>
        <c:axId val="5435024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02960"/>
        <c:crosses val="max"/>
        <c:crossBetween val="between"/>
      </c:valAx>
      <c:catAx>
        <c:axId val="543502960"/>
        <c:scaling>
          <c:orientation val="minMax"/>
        </c:scaling>
        <c:delete val="1"/>
        <c:axPos val="b"/>
        <c:majorTickMark val="out"/>
        <c:minorTickMark val="none"/>
        <c:tickLblPos val="nextTo"/>
        <c:crossAx val="543502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Carbon intensity pathways for the OEM and Power sectors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B2DS'!$B$103</c:f>
              <c:strCache>
                <c:ptCount val="1"/>
                <c:pt idx="0">
                  <c:v>OEM Scope 1 + 2 intensity (kgCO2/car)</c:v>
                </c:pt>
              </c:strCache>
            </c:strRef>
          </c:tx>
          <c:spPr>
            <a:ln w="28575" cap="rnd">
              <a:solidFill>
                <a:srgbClr val="7030A0"/>
              </a:solidFill>
              <a:round/>
            </a:ln>
            <a:effectLst/>
          </c:spPr>
          <c:marker>
            <c:symbol val="none"/>
          </c:marker>
          <c:cat>
            <c:numRef>
              <c:f>'Raw data B2DS'!$F$89:$AT$89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B2DS'!$F$103:$AT$103</c:f>
              <c:numCache>
                <c:formatCode>General</c:formatCode>
                <c:ptCount val="41"/>
                <c:pt idx="2" formatCode="#,##0.00">
                  <c:v>756.40937860532608</c:v>
                </c:pt>
                <c:pt idx="3" formatCode="#,##0.00">
                  <c:v>762.95237529085307</c:v>
                </c:pt>
                <c:pt idx="4" formatCode="#,##0.00">
                  <c:v>768.90723893101972</c:v>
                </c:pt>
                <c:pt idx="5" formatCode="#,##0.00">
                  <c:v>774.34985747694884</c:v>
                </c:pt>
                <c:pt idx="6" formatCode="#,##0.00">
                  <c:v>740.55007789361514</c:v>
                </c:pt>
                <c:pt idx="7" formatCode="#,##0.00">
                  <c:v>707.48838580579081</c:v>
                </c:pt>
                <c:pt idx="8" formatCode="#,##0.00">
                  <c:v>675.14086585301379</c:v>
                </c:pt>
                <c:pt idx="9" formatCode="#,##0.00">
                  <c:v>643.48462483571302</c:v>
                </c:pt>
                <c:pt idx="10" formatCode="#,##0.00">
                  <c:v>612.49773768263071</c:v>
                </c:pt>
                <c:pt idx="11" formatCode="#,##0.00">
                  <c:v>590.15649406876491</c:v>
                </c:pt>
                <c:pt idx="12" formatCode="#,##0.00">
                  <c:v>567.67486678355272</c:v>
                </c:pt>
                <c:pt idx="13" formatCode="#,##0.00">
                  <c:v>545.05152848228363</c:v>
                </c:pt>
                <c:pt idx="14" formatCode="#,##0.00">
                  <c:v>522.28513503373358</c:v>
                </c:pt>
                <c:pt idx="15" formatCode="#,##0.00">
                  <c:v>499.37432525395485</c:v>
                </c:pt>
                <c:pt idx="16" formatCode="#,##0.00">
                  <c:v>459.90007815509625</c:v>
                </c:pt>
                <c:pt idx="17" formatCode="#,##0.00">
                  <c:v>423.13735410275456</c:v>
                </c:pt>
                <c:pt idx="18" formatCode="#,##0.00">
                  <c:v>388.81604451209546</c:v>
                </c:pt>
                <c:pt idx="19" formatCode="#,##0.00">
                  <c:v>356.70076367523211</c:v>
                </c:pt>
                <c:pt idx="20" formatCode="#,##0.00">
                  <c:v>326.58544289483245</c:v>
                </c:pt>
                <c:pt idx="21" formatCode="#,##0.00">
                  <c:v>311.37853888777084</c:v>
                </c:pt>
                <c:pt idx="22" formatCode="#,##0.00">
                  <c:v>296.25430328050743</c:v>
                </c:pt>
                <c:pt idx="23" formatCode="#,##0.00">
                  <c:v>281.21206379232683</c:v>
                </c:pt>
                <c:pt idx="24" formatCode="#,##0.00">
                  <c:v>266.25115541235357</c:v>
                </c:pt>
                <c:pt idx="25" formatCode="#,##0.00">
                  <c:v>251.37092030154983</c:v>
                </c:pt>
                <c:pt idx="26" formatCode="#,##0.00">
                  <c:v>236.47063838797919</c:v>
                </c:pt>
                <c:pt idx="27" formatCode="#,##0.00">
                  <c:v>221.90169091455687</c:v>
                </c:pt>
                <c:pt idx="28" formatCode="#,##0.00">
                  <c:v>207.6531476859542</c:v>
                </c:pt>
                <c:pt idx="29" formatCode="#,##0.00">
                  <c:v>193.71455403748422</c:v>
                </c:pt>
                <c:pt idx="30" formatCode="#,##0.00">
                  <c:v>180.07590525271945</c:v>
                </c:pt>
                <c:pt idx="31" formatCode="#,##0.00">
                  <c:v>163.89297692000176</c:v>
                </c:pt>
                <c:pt idx="32" formatCode="#,##0.00">
                  <c:v>148.65660304394694</c:v>
                </c:pt>
                <c:pt idx="33" formatCode="#,##0.00">
                  <c:v>134.28609609916299</c:v>
                </c:pt>
                <c:pt idx="34" formatCode="#,##0.00">
                  <c:v>120.70968594996489</c:v>
                </c:pt>
                <c:pt idx="35" formatCode="#,##0.00">
                  <c:v>107.8633210618097</c:v>
                </c:pt>
                <c:pt idx="36" formatCode="#,##0.00">
                  <c:v>101.23323666586053</c:v>
                </c:pt>
                <c:pt idx="37" formatCode="#,##0.00">
                  <c:v>94.6287365196454</c:v>
                </c:pt>
                <c:pt idx="38" formatCode="#,##0.00">
                  <c:v>88.049672821116744</c:v>
                </c:pt>
                <c:pt idx="39" formatCode="#,##0.00">
                  <c:v>81.495898904522846</c:v>
                </c:pt>
                <c:pt idx="40" formatCode="#,##0.00">
                  <c:v>74.967269229509128</c:v>
                </c:pt>
              </c:numCache>
            </c:numRef>
          </c:val>
          <c:smooth val="0"/>
        </c:ser>
        <c:ser>
          <c:idx val="2"/>
          <c:order val="1"/>
          <c:tx>
            <c:strRef>
              <c:f>'Raw data B2DS'!$B$101</c:f>
              <c:strCache>
                <c:ptCount val="1"/>
                <c:pt idx="0">
                  <c:v>OEM Scope 2 intensity (kgCO2/car)</c:v>
                </c:pt>
              </c:strCache>
            </c:strRef>
          </c:tx>
          <c:spPr>
            <a:ln w="28575" cap="rnd">
              <a:solidFill>
                <a:schemeClr val="accent1"/>
              </a:solidFill>
              <a:round/>
            </a:ln>
            <a:effectLst/>
          </c:spPr>
          <c:marker>
            <c:symbol val="none"/>
          </c:marker>
          <c:val>
            <c:numRef>
              <c:f>'Raw data B2DS'!$F$101:$AT$101</c:f>
              <c:numCache>
                <c:formatCode>General</c:formatCode>
                <c:ptCount val="41"/>
                <c:pt idx="2" formatCode="#,##0.00">
                  <c:v>482.8115183765791</c:v>
                </c:pt>
                <c:pt idx="3" formatCode="#,##0.00">
                  <c:v>501.04559327886631</c:v>
                </c:pt>
                <c:pt idx="4" formatCode="#,##0.00">
                  <c:v>517.64065435965358</c:v>
                </c:pt>
                <c:pt idx="5" formatCode="#,##0.00">
                  <c:v>532.80818676121714</c:v>
                </c:pt>
                <c:pt idx="6" formatCode="#,##0.00">
                  <c:v>506.60860442645605</c:v>
                </c:pt>
                <c:pt idx="7" formatCode="#,##0.00">
                  <c:v>480.98114369565928</c:v>
                </c:pt>
                <c:pt idx="8" formatCode="#,##0.00">
                  <c:v>455.90726680132599</c:v>
                </c:pt>
                <c:pt idx="9" formatCode="#,##0.00">
                  <c:v>431.36922829438936</c:v>
                </c:pt>
                <c:pt idx="10" formatCode="#,##0.00">
                  <c:v>407.35003316137016</c:v>
                </c:pt>
                <c:pt idx="11" formatCode="#,##0.00">
                  <c:v>389.10623324000909</c:v>
                </c:pt>
                <c:pt idx="12" formatCode="#,##0.00">
                  <c:v>370.74779638721594</c:v>
                </c:pt>
                <c:pt idx="13" formatCode="#,##0.00">
                  <c:v>352.27363869684206</c:v>
                </c:pt>
                <c:pt idx="14" formatCode="#,##0.00">
                  <c:v>333.68266255491613</c:v>
                </c:pt>
                <c:pt idx="15" formatCode="#,##0.00">
                  <c:v>314.97375642225882</c:v>
                </c:pt>
                <c:pt idx="16" formatCode="#,##0.00">
                  <c:v>286.13690701949264</c:v>
                </c:pt>
                <c:pt idx="17" formatCode="#,##0.00">
                  <c:v>259.28088784127044</c:v>
                </c:pt>
                <c:pt idx="18" formatCode="#,##0.00">
                  <c:v>234.20837832657554</c:v>
                </c:pt>
                <c:pt idx="19" formatCode="#,##0.00">
                  <c:v>210.74742377813649</c:v>
                </c:pt>
                <c:pt idx="20" formatCode="#,##0.00">
                  <c:v>188.7474862521465</c:v>
                </c:pt>
                <c:pt idx="21" formatCode="#,##0.00">
                  <c:v>175.41156886662114</c:v>
                </c:pt>
                <c:pt idx="22" formatCode="#,##0.00">
                  <c:v>162.14814874612676</c:v>
                </c:pt>
                <c:pt idx="23" formatCode="#,##0.00">
                  <c:v>148.95663632423529</c:v>
                </c:pt>
                <c:pt idx="24" formatCode="#,##0.00">
                  <c:v>135.8364484099111</c:v>
                </c:pt>
                <c:pt idx="25" formatCode="#,##0.00">
                  <c:v>122.7870081015667</c:v>
                </c:pt>
                <c:pt idx="26" formatCode="#,##0.00">
                  <c:v>110.59326106485918</c:v>
                </c:pt>
                <c:pt idx="27" formatCode="#,##0.00">
                  <c:v>98.670663820561828</c:v>
                </c:pt>
                <c:pt idx="28" formatCode="#,##0.00">
                  <c:v>87.010271568994156</c:v>
                </c:pt>
                <c:pt idx="29" formatCode="#,##0.00">
                  <c:v>75.603528664210344</c:v>
                </c:pt>
                <c:pt idx="30" formatCode="#,##0.00">
                  <c:v>64.442247678482516</c:v>
                </c:pt>
                <c:pt idx="31" formatCode="#,##0.00">
                  <c:v>53.709437289970083</c:v>
                </c:pt>
                <c:pt idx="32" formatCode="#,##0.00">
                  <c:v>43.604398915081724</c:v>
                </c:pt>
                <c:pt idx="33" formatCode="#,##0.00">
                  <c:v>34.07361912948862</c:v>
                </c:pt>
                <c:pt idx="34" formatCode="#,##0.00">
                  <c:v>25.069498682793878</c:v>
                </c:pt>
                <c:pt idx="35" formatCode="#,##0.00">
                  <c:v>16.549557440301911</c:v>
                </c:pt>
                <c:pt idx="36" formatCode="#,##0.00">
                  <c:v>11.819837151046098</c:v>
                </c:pt>
                <c:pt idx="37" formatCode="#,##0.00">
                  <c:v>7.1083679635600392</c:v>
                </c:pt>
                <c:pt idx="38" formatCode="#,##0.00">
                  <c:v>2.4150444399184359</c:v>
                </c:pt>
                <c:pt idx="39" formatCode="#,##0.00">
                  <c:v>-2.2602380472017005</c:v>
                </c:pt>
                <c:pt idx="40" formatCode="#,##0.00">
                  <c:v>-6.9175833222959371</c:v>
                </c:pt>
              </c:numCache>
            </c:numRef>
          </c:val>
          <c:smooth val="0"/>
        </c:ser>
        <c:ser>
          <c:idx val="3"/>
          <c:order val="2"/>
          <c:tx>
            <c:strRef>
              <c:f>'Raw data B2DS'!$B$102</c:f>
              <c:strCache>
                <c:ptCount val="1"/>
                <c:pt idx="0">
                  <c:v>OEM Scope 1 intensity (kgCO2/car)</c:v>
                </c:pt>
              </c:strCache>
            </c:strRef>
          </c:tx>
          <c:spPr>
            <a:ln w="28575" cap="rnd">
              <a:solidFill>
                <a:schemeClr val="accent2"/>
              </a:solidFill>
              <a:round/>
            </a:ln>
            <a:effectLst/>
          </c:spPr>
          <c:marker>
            <c:symbol val="none"/>
          </c:marker>
          <c:val>
            <c:numRef>
              <c:f>'Raw data B2DS'!$F$102:$AT$102</c:f>
              <c:numCache>
                <c:formatCode>General</c:formatCode>
                <c:ptCount val="41"/>
                <c:pt idx="2" formatCode="#,##0.00">
                  <c:v>273.59786022874698</c:v>
                </c:pt>
                <c:pt idx="3" formatCode="#,##0.00">
                  <c:v>261.90678201198671</c:v>
                </c:pt>
                <c:pt idx="4" formatCode="#,##0.00">
                  <c:v>251.26658457136608</c:v>
                </c:pt>
                <c:pt idx="5" formatCode="#,##0.00">
                  <c:v>241.54167071573167</c:v>
                </c:pt>
                <c:pt idx="6" formatCode="#,##0.00">
                  <c:v>233.94147346715911</c:v>
                </c:pt>
                <c:pt idx="7" formatCode="#,##0.00">
                  <c:v>226.50724211013159</c:v>
                </c:pt>
                <c:pt idx="8" formatCode="#,##0.00">
                  <c:v>219.23359905168783</c:v>
                </c:pt>
                <c:pt idx="9" formatCode="#,##0.00">
                  <c:v>212.11539654132369</c:v>
                </c:pt>
                <c:pt idx="10" formatCode="#,##0.00">
                  <c:v>205.14770452126061</c:v>
                </c:pt>
                <c:pt idx="11" formatCode="#,##0.00">
                  <c:v>201.05026082875585</c:v>
                </c:pt>
                <c:pt idx="12" formatCode="#,##0.00">
                  <c:v>196.92707039633675</c:v>
                </c:pt>
                <c:pt idx="13" formatCode="#,##0.00">
                  <c:v>192.77788978544163</c:v>
                </c:pt>
                <c:pt idx="14" formatCode="#,##0.00">
                  <c:v>188.60247247881742</c:v>
                </c:pt>
                <c:pt idx="15" formatCode="#,##0.00">
                  <c:v>184.40056883169603</c:v>
                </c:pt>
                <c:pt idx="16" formatCode="#,##0.00">
                  <c:v>173.76317113560361</c:v>
                </c:pt>
                <c:pt idx="17" formatCode="#,##0.00">
                  <c:v>163.85646626148409</c:v>
                </c:pt>
                <c:pt idx="18" formatCode="#,##0.00">
                  <c:v>154.60766618551995</c:v>
                </c:pt>
                <c:pt idx="19" formatCode="#,##0.00">
                  <c:v>145.95333989709562</c:v>
                </c:pt>
                <c:pt idx="20" formatCode="#,##0.00">
                  <c:v>137.83795664268592</c:v>
                </c:pt>
                <c:pt idx="21" formatCode="#,##0.00">
                  <c:v>135.96697002114971</c:v>
                </c:pt>
                <c:pt idx="22" formatCode="#,##0.00">
                  <c:v>134.10615453438064</c:v>
                </c:pt>
                <c:pt idx="23" formatCode="#,##0.00">
                  <c:v>132.25542746809154</c:v>
                </c:pt>
                <c:pt idx="24" formatCode="#,##0.00">
                  <c:v>130.4147070024425</c:v>
                </c:pt>
                <c:pt idx="25" formatCode="#,##0.00">
                  <c:v>128.58391219998313</c:v>
                </c:pt>
                <c:pt idx="26" formatCode="#,##0.00">
                  <c:v>125.87737732312002</c:v>
                </c:pt>
                <c:pt idx="27" formatCode="#,##0.00">
                  <c:v>123.23102709399504</c:v>
                </c:pt>
                <c:pt idx="28" formatCode="#,##0.00">
                  <c:v>120.64287611696003</c:v>
                </c:pt>
                <c:pt idx="29" formatCode="#,##0.00">
                  <c:v>118.11102537327389</c:v>
                </c:pt>
                <c:pt idx="30" formatCode="#,##0.00">
                  <c:v>115.63365757423693</c:v>
                </c:pt>
                <c:pt idx="31" formatCode="#,##0.00">
                  <c:v>110.18353963003167</c:v>
                </c:pt>
                <c:pt idx="32" formatCode="#,##0.00">
                  <c:v>105.05220412886523</c:v>
                </c:pt>
                <c:pt idx="33" formatCode="#,##0.00">
                  <c:v>100.21247696967438</c:v>
                </c:pt>
                <c:pt idx="34" formatCode="#,##0.00">
                  <c:v>95.640187267171015</c:v>
                </c:pt>
                <c:pt idx="35" formatCode="#,##0.00">
                  <c:v>91.313763621507789</c:v>
                </c:pt>
                <c:pt idx="36" formatCode="#,##0.00">
                  <c:v>89.413399514814429</c:v>
                </c:pt>
                <c:pt idx="37" formatCode="#,##0.00">
                  <c:v>87.520368556085359</c:v>
                </c:pt>
                <c:pt idx="38" formatCode="#,##0.00">
                  <c:v>85.634628381198311</c:v>
                </c:pt>
                <c:pt idx="39" formatCode="#,##0.00">
                  <c:v>83.756136951724542</c:v>
                </c:pt>
                <c:pt idx="40" formatCode="#,##0.00">
                  <c:v>81.884852551805068</c:v>
                </c:pt>
              </c:numCache>
            </c:numRef>
          </c:val>
          <c:smooth val="0"/>
        </c:ser>
        <c:dLbls>
          <c:showLegendKey val="0"/>
          <c:showVal val="0"/>
          <c:showCatName val="0"/>
          <c:showSerName val="0"/>
          <c:showPercent val="0"/>
          <c:showBubbleSize val="0"/>
        </c:dLbls>
        <c:marker val="1"/>
        <c:smooth val="0"/>
        <c:axId val="732321472"/>
        <c:axId val="732322032"/>
      </c:lineChart>
      <c:lineChart>
        <c:grouping val="standard"/>
        <c:varyColors val="0"/>
        <c:ser>
          <c:idx val="1"/>
          <c:order val="3"/>
          <c:tx>
            <c:strRef>
              <c:f>'Raw data B2DS'!$B$92</c:f>
              <c:strCache>
                <c:ptCount val="1"/>
                <c:pt idx="0">
                  <c:v>Power sector intensity (tCO2/MWh)</c:v>
                </c:pt>
              </c:strCache>
            </c:strRef>
          </c:tx>
          <c:spPr>
            <a:ln w="28575" cap="rnd">
              <a:solidFill>
                <a:schemeClr val="accent4"/>
              </a:solidFill>
              <a:round/>
            </a:ln>
            <a:effectLst/>
          </c:spPr>
          <c:marker>
            <c:symbol val="none"/>
          </c:marker>
          <c:val>
            <c:numRef>
              <c:f>'Raw data B2DS'!$F$92:$AT$92</c:f>
              <c:numCache>
                <c:formatCode>General</c:formatCode>
                <c:ptCount val="41"/>
                <c:pt idx="4" formatCode="#,##0.00">
                  <c:v>0.57202495010378573</c:v>
                </c:pt>
                <c:pt idx="5" formatCode="#,##0.00">
                  <c:v>0.55003893321072017</c:v>
                </c:pt>
                <c:pt idx="6" formatCode="#,##0.00">
                  <c:v>0.52805291631765461</c:v>
                </c:pt>
                <c:pt idx="7" formatCode="#,##0.00">
                  <c:v>0.50606689942458905</c:v>
                </c:pt>
                <c:pt idx="8" formatCode="#,##0.00">
                  <c:v>0.48408088253152348</c:v>
                </c:pt>
                <c:pt idx="9" formatCode="#,##0.00">
                  <c:v>0.46209486563845792</c:v>
                </c:pt>
                <c:pt idx="10" formatCode="#,##0.00">
                  <c:v>0.44010884874539236</c:v>
                </c:pt>
                <c:pt idx="11" formatCode="#,##0.00">
                  <c:v>0.41812283185232679</c:v>
                </c:pt>
                <c:pt idx="12" formatCode="#,##0.00">
                  <c:v>0.39613681495926123</c:v>
                </c:pt>
                <c:pt idx="13" formatCode="#,##0.00">
                  <c:v>0.37415079806619567</c:v>
                </c:pt>
                <c:pt idx="14" formatCode="#,##0.00">
                  <c:v>0.3521647811731301</c:v>
                </c:pt>
                <c:pt idx="15" formatCode="#,##0.00">
                  <c:v>0.33017876428006449</c:v>
                </c:pt>
                <c:pt idx="16" formatCode="#,##0.00">
                  <c:v>0.30990115631635862</c:v>
                </c:pt>
                <c:pt idx="17" formatCode="#,##0.00">
                  <c:v>0.28962354835265275</c:v>
                </c:pt>
                <c:pt idx="18" formatCode="#,##0.00">
                  <c:v>0.26934594038894688</c:v>
                </c:pt>
                <c:pt idx="19" formatCode="#,##0.00">
                  <c:v>0.24906833242524101</c:v>
                </c:pt>
                <c:pt idx="20" formatCode="#,##0.00">
                  <c:v>0.22879072446153514</c:v>
                </c:pt>
                <c:pt idx="21" formatCode="#,##0.00">
                  <c:v>0.21116960736636065</c:v>
                </c:pt>
                <c:pt idx="22" formatCode="#,##0.00">
                  <c:v>0.19354849027118615</c:v>
                </c:pt>
                <c:pt idx="23" formatCode="#,##0.00">
                  <c:v>0.17592737317601162</c:v>
                </c:pt>
                <c:pt idx="24" formatCode="#,##0.00">
                  <c:v>0.15830625608083712</c:v>
                </c:pt>
                <c:pt idx="25" formatCode="#,##0.00">
                  <c:v>0.14068513898566262</c:v>
                </c:pt>
                <c:pt idx="26" formatCode="#,##0.00">
                  <c:v>0.12693081987989646</c:v>
                </c:pt>
                <c:pt idx="27" formatCode="#,##0.00">
                  <c:v>0.11317650077413033</c:v>
                </c:pt>
                <c:pt idx="28" formatCode="#,##0.00">
                  <c:v>9.9422181668364168E-2</c:v>
                </c:pt>
                <c:pt idx="29" formatCode="#,##0.00">
                  <c:v>8.5667862562598021E-2</c:v>
                </c:pt>
                <c:pt idx="30" formatCode="#,##0.00">
                  <c:v>7.1913543456831874E-2</c:v>
                </c:pt>
                <c:pt idx="31" formatCode="#,##0.00">
                  <c:v>6.1600169245769762E-2</c:v>
                </c:pt>
                <c:pt idx="32" formatCode="#,##0.00">
                  <c:v>5.1286795034707643E-2</c:v>
                </c:pt>
                <c:pt idx="33" formatCode="#,##0.00">
                  <c:v>4.0973420823645523E-2</c:v>
                </c:pt>
                <c:pt idx="34" formatCode="#,##0.00">
                  <c:v>3.0660046612583411E-2</c:v>
                </c:pt>
                <c:pt idx="35" formatCode="#,##0.00">
                  <c:v>2.0346672401521292E-2</c:v>
                </c:pt>
                <c:pt idx="36" formatCode="#,##0.00">
                  <c:v>1.4672358393322833E-2</c:v>
                </c:pt>
                <c:pt idx="37" formatCode="#,##0.00">
                  <c:v>8.9980443851243753E-3</c:v>
                </c:pt>
                <c:pt idx="38" formatCode="#,##0.00">
                  <c:v>3.323730376925918E-3</c:v>
                </c:pt>
                <c:pt idx="39" formatCode="#,##0.00">
                  <c:v>-2.350583631272541E-3</c:v>
                </c:pt>
                <c:pt idx="40" formatCode="#,##0.00">
                  <c:v>-8.024897639471E-3</c:v>
                </c:pt>
              </c:numCache>
            </c:numRef>
          </c:val>
          <c:smooth val="0"/>
        </c:ser>
        <c:dLbls>
          <c:showLegendKey val="0"/>
          <c:showVal val="0"/>
          <c:showCatName val="0"/>
          <c:showSerName val="0"/>
          <c:showPercent val="0"/>
          <c:showBubbleSize val="0"/>
        </c:dLbls>
        <c:marker val="1"/>
        <c:smooth val="0"/>
        <c:axId val="732323152"/>
        <c:axId val="732322592"/>
      </c:lineChart>
      <c:catAx>
        <c:axId val="73232147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22032"/>
        <c:crosses val="autoZero"/>
        <c:auto val="1"/>
        <c:lblAlgn val="ctr"/>
        <c:lblOffset val="100"/>
        <c:tickLblSkip val="5"/>
        <c:noMultiLvlLbl val="0"/>
      </c:catAx>
      <c:valAx>
        <c:axId val="732322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kgCO2/car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21472"/>
        <c:crosses val="autoZero"/>
        <c:crossBetween val="between"/>
      </c:valAx>
      <c:valAx>
        <c:axId val="732322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tCO2/MWh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323152"/>
        <c:crosses val="max"/>
        <c:crossBetween val="between"/>
      </c:valAx>
      <c:catAx>
        <c:axId val="732323152"/>
        <c:scaling>
          <c:orientation val="minMax"/>
        </c:scaling>
        <c:delete val="1"/>
        <c:axPos val="b"/>
        <c:majorTickMark val="out"/>
        <c:minorTickMark val="none"/>
        <c:tickLblPos val="nextTo"/>
        <c:crossAx val="732322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Carbon intensity</a:t>
            </a:r>
            <a:r>
              <a:rPr lang="en-US" baseline="0"/>
              <a:t> reduction drivers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1"/>
          <c:tx>
            <c:strRef>
              <c:f>'Raw data B2DS'!$G$87</c:f>
              <c:strCache>
                <c:ptCount val="1"/>
                <c:pt idx="0">
                  <c:v>Grid decarbonization contribution to OEM intensity reduction</c:v>
                </c:pt>
              </c:strCache>
            </c:strRef>
          </c:tx>
          <c:spPr>
            <a:solidFill>
              <a:schemeClr val="accent1">
                <a:lumMod val="60000"/>
                <a:lumOff val="40000"/>
              </a:schemeClr>
            </a:solidFill>
            <a:ln>
              <a:noFill/>
            </a:ln>
            <a:effectLst/>
          </c:spP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B2DS'!$K$87:$Q$87</c:f>
              <c:numCache>
                <c:formatCode>0%</c:formatCode>
                <c:ptCount val="7"/>
                <c:pt idx="1">
                  <c:v>0.33173805474167395</c:v>
                </c:pt>
                <c:pt idx="2">
                  <c:v>0.43059584697918701</c:v>
                </c:pt>
                <c:pt idx="3">
                  <c:v>0.53192044886280454</c:v>
                </c:pt>
                <c:pt idx="4">
                  <c:v>0.59786770092231611</c:v>
                </c:pt>
                <c:pt idx="5">
                  <c:v>0.61828648168407618</c:v>
                </c:pt>
                <c:pt idx="6">
                  <c:v>0.64231367605401879</c:v>
                </c:pt>
              </c:numCache>
            </c:numRef>
          </c:val>
        </c:ser>
        <c:ser>
          <c:idx val="1"/>
          <c:order val="2"/>
          <c:tx>
            <c:strRef>
              <c:f>'Raw data B2DS'!$G$86</c:f>
              <c:strCache>
                <c:ptCount val="1"/>
                <c:pt idx="0">
                  <c:v>EE contribution to OEM intensity reduction </c:v>
                </c:pt>
              </c:strCache>
            </c:strRef>
          </c:tx>
          <c:spPr>
            <a:solidFill>
              <a:schemeClr val="accent2">
                <a:lumMod val="40000"/>
                <a:lumOff val="60000"/>
              </a:schemeClr>
            </a:solidFill>
            <a:ln>
              <a:noFill/>
            </a:ln>
            <a:effectLst/>
          </c:spP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B2DS'!$K$86:$Q$86</c:f>
              <c:numCache>
                <c:formatCode>0%</c:formatCode>
                <c:ptCount val="7"/>
                <c:pt idx="1">
                  <c:v>2.3366978942896171E-2</c:v>
                </c:pt>
                <c:pt idx="2">
                  <c:v>0.14764977450392361</c:v>
                </c:pt>
                <c:pt idx="3">
                  <c:v>0.14345765332915886</c:v>
                </c:pt>
                <c:pt idx="4">
                  <c:v>0.16958120668198343</c:v>
                </c:pt>
                <c:pt idx="5">
                  <c:v>0.24241818556638481</c:v>
                </c:pt>
                <c:pt idx="6">
                  <c:v>0.26087314769800762</c:v>
                </c:pt>
              </c:numCache>
            </c:numRef>
          </c:val>
        </c:ser>
        <c:dLbls>
          <c:showLegendKey val="0"/>
          <c:showVal val="0"/>
          <c:showCatName val="0"/>
          <c:showSerName val="0"/>
          <c:showPercent val="0"/>
          <c:showBubbleSize val="0"/>
        </c:dLbls>
        <c:axId val="622926624"/>
        <c:axId val="622926064"/>
      </c:areaChart>
      <c:lineChart>
        <c:grouping val="stacked"/>
        <c:varyColors val="0"/>
        <c:ser>
          <c:idx val="0"/>
          <c:order val="0"/>
          <c:tx>
            <c:strRef>
              <c:f>'Raw data B2DS'!$G$85</c:f>
              <c:strCache>
                <c:ptCount val="1"/>
                <c:pt idx="0">
                  <c:v>Total % reduction in OEM S1+S2 intensity</c:v>
                </c:pt>
              </c:strCache>
            </c:strRef>
          </c:tx>
          <c:spPr>
            <a:ln w="28575" cap="rnd">
              <a:solidFill>
                <a:srgbClr val="7030A0"/>
              </a:solidFill>
              <a:round/>
            </a:ln>
            <a:effectLst/>
          </c:spPr>
          <c:marker>
            <c:symbol val="none"/>
          </c:marker>
          <c:cat>
            <c:numRef>
              <c:f>'Raw data B2DS'!$K$81:$Q$81</c:f>
              <c:numCache>
                <c:formatCode>General</c:formatCode>
                <c:ptCount val="7"/>
                <c:pt idx="0">
                  <c:v>2014</c:v>
                </c:pt>
                <c:pt idx="1">
                  <c:v>2025</c:v>
                </c:pt>
                <c:pt idx="2">
                  <c:v>2030</c:v>
                </c:pt>
                <c:pt idx="3">
                  <c:v>2035</c:v>
                </c:pt>
                <c:pt idx="4">
                  <c:v>2040</c:v>
                </c:pt>
                <c:pt idx="5">
                  <c:v>2045</c:v>
                </c:pt>
                <c:pt idx="6">
                  <c:v>2050</c:v>
                </c:pt>
              </c:numCache>
            </c:numRef>
          </c:cat>
          <c:val>
            <c:numRef>
              <c:f>'Raw data B2DS'!$K$85:$Q$85</c:f>
              <c:numCache>
                <c:formatCode>0%</c:formatCode>
                <c:ptCount val="7"/>
                <c:pt idx="1">
                  <c:v>0.35510503368457014</c:v>
                </c:pt>
                <c:pt idx="2">
                  <c:v>0.57824562148311065</c:v>
                </c:pt>
                <c:pt idx="3">
                  <c:v>0.67537810219196337</c:v>
                </c:pt>
                <c:pt idx="4">
                  <c:v>0.76744890760429951</c:v>
                </c:pt>
                <c:pt idx="5">
                  <c:v>0.86070466725046102</c:v>
                </c:pt>
                <c:pt idx="6">
                  <c:v>0.9031868237520263</c:v>
                </c:pt>
              </c:numCache>
            </c:numRef>
          </c:val>
          <c:smooth val="0"/>
        </c:ser>
        <c:dLbls>
          <c:showLegendKey val="0"/>
          <c:showVal val="0"/>
          <c:showCatName val="0"/>
          <c:showSerName val="0"/>
          <c:showPercent val="0"/>
          <c:showBubbleSize val="0"/>
        </c:dLbls>
        <c:marker val="1"/>
        <c:smooth val="0"/>
        <c:axId val="441524880"/>
        <c:axId val="441525440"/>
      </c:lineChart>
      <c:catAx>
        <c:axId val="441524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525440"/>
        <c:crosses val="autoZero"/>
        <c:auto val="1"/>
        <c:lblAlgn val="ctr"/>
        <c:lblOffset val="100"/>
        <c:noMultiLvlLbl val="0"/>
      </c:catAx>
      <c:valAx>
        <c:axId val="441525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524880"/>
        <c:crosses val="autoZero"/>
        <c:crossBetween val="between"/>
      </c:valAx>
      <c:valAx>
        <c:axId val="6229260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26624"/>
        <c:crosses val="max"/>
        <c:crossBetween val="between"/>
      </c:valAx>
      <c:catAx>
        <c:axId val="622926624"/>
        <c:scaling>
          <c:orientation val="minMax"/>
        </c:scaling>
        <c:delete val="1"/>
        <c:axPos val="b"/>
        <c:numFmt formatCode="General" sourceLinked="1"/>
        <c:majorTickMark val="out"/>
        <c:minorTickMark val="none"/>
        <c:tickLblPos val="nextTo"/>
        <c:crossAx val="6229260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Absolute pathway: Other Industry vs Revised OEM vs Old OEM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1"/>
          <c:order val="0"/>
          <c:tx>
            <c:strRef>
              <c:f>'Raw data 2DS'!$B$97</c:f>
              <c:strCache>
                <c:ptCount val="1"/>
                <c:pt idx="0">
                  <c:v>Other Industry Scope 1 emissions (MtCO2)</c:v>
                </c:pt>
              </c:strCache>
            </c:strRef>
          </c:tx>
          <c:spPr>
            <a:solidFill>
              <a:schemeClr val="accent2">
                <a:lumMod val="40000"/>
                <a:lumOff val="60000"/>
              </a:schemeClr>
            </a:solidFill>
            <a:ln>
              <a:noFill/>
            </a:ln>
            <a:effectLst/>
          </c:spPr>
          <c:cat>
            <c:numRef>
              <c:f>'Raw data 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2DS'!$F$97:$AT$97</c:f>
              <c:numCache>
                <c:formatCode>General</c:formatCode>
                <c:ptCount val="41"/>
                <c:pt idx="4" formatCode="#,##0.00">
                  <c:v>2261.4131158700566</c:v>
                </c:pt>
                <c:pt idx="5" formatCode="#,##0.00">
                  <c:v>2228.7631326764931</c:v>
                </c:pt>
                <c:pt idx="6" formatCode="#,##0.00">
                  <c:v>2196.1131494829301</c:v>
                </c:pt>
                <c:pt idx="7" formatCode="#,##0.00">
                  <c:v>2163.4631662893667</c:v>
                </c:pt>
                <c:pt idx="8" formatCode="#,##0.00">
                  <c:v>2130.8131830958032</c:v>
                </c:pt>
                <c:pt idx="9" formatCode="#,##0.00">
                  <c:v>2098.1631999022402</c:v>
                </c:pt>
                <c:pt idx="10" formatCode="#,##0.00">
                  <c:v>2065.5132167086767</c:v>
                </c:pt>
                <c:pt idx="11" formatCode="#,##0.00">
                  <c:v>2032.8632335151135</c:v>
                </c:pt>
                <c:pt idx="12" formatCode="#,##0.00">
                  <c:v>2000.2132503215503</c:v>
                </c:pt>
                <c:pt idx="13" formatCode="#,##0.00">
                  <c:v>1967.5632671279868</c:v>
                </c:pt>
                <c:pt idx="14" formatCode="#,##0.00">
                  <c:v>1934.9132839344236</c:v>
                </c:pt>
                <c:pt idx="15" formatCode="#,##0.00">
                  <c:v>1902.2633007408604</c:v>
                </c:pt>
                <c:pt idx="16" formatCode="#,##0.00">
                  <c:v>1877.8866266611003</c:v>
                </c:pt>
                <c:pt idx="17" formatCode="#,##0.00">
                  <c:v>1853.5099525813403</c:v>
                </c:pt>
                <c:pt idx="18" formatCode="#,##0.00">
                  <c:v>1829.1332785015802</c:v>
                </c:pt>
                <c:pt idx="19" formatCode="#,##0.00">
                  <c:v>1804.7566044218202</c:v>
                </c:pt>
                <c:pt idx="20" formatCode="#,##0.00">
                  <c:v>1780.3799303420601</c:v>
                </c:pt>
                <c:pt idx="21" formatCode="#,##0.00">
                  <c:v>1757.205461067638</c:v>
                </c:pt>
                <c:pt idx="22" formatCode="#,##0.00">
                  <c:v>1734.0309917932159</c:v>
                </c:pt>
                <c:pt idx="23" formatCode="#,##0.00">
                  <c:v>1710.8565225187936</c:v>
                </c:pt>
                <c:pt idx="24" formatCode="#,##0.00">
                  <c:v>1687.6820532443714</c:v>
                </c:pt>
                <c:pt idx="25" formatCode="#,##0.00">
                  <c:v>1664.5075839699493</c:v>
                </c:pt>
                <c:pt idx="26" formatCode="#,##0.00">
                  <c:v>1645.5040072792226</c:v>
                </c:pt>
                <c:pt idx="27" formatCode="#,##0.00">
                  <c:v>1626.5004305884959</c:v>
                </c:pt>
                <c:pt idx="28" formatCode="#,##0.00">
                  <c:v>1607.4968538977691</c:v>
                </c:pt>
                <c:pt idx="29" formatCode="#,##0.00">
                  <c:v>1588.4932772070424</c:v>
                </c:pt>
                <c:pt idx="30" formatCode="#,##0.00">
                  <c:v>1569.4897005163157</c:v>
                </c:pt>
                <c:pt idx="31" formatCode="#,##0.00">
                  <c:v>1558.4689550967937</c:v>
                </c:pt>
                <c:pt idx="32" formatCode="#,##0.00">
                  <c:v>1547.4482096772715</c:v>
                </c:pt>
                <c:pt idx="33" formatCode="#,##0.00">
                  <c:v>1536.4274642577495</c:v>
                </c:pt>
                <c:pt idx="34" formatCode="#,##0.00">
                  <c:v>1525.4067188382273</c:v>
                </c:pt>
                <c:pt idx="35" formatCode="#,##0.00">
                  <c:v>1514.3859734187054</c:v>
                </c:pt>
                <c:pt idx="36" formatCode="#,##0.00">
                  <c:v>1496.1584002598283</c:v>
                </c:pt>
                <c:pt idx="37" formatCode="#,##0.00">
                  <c:v>1477.9308271009513</c:v>
                </c:pt>
                <c:pt idx="38" formatCode="#,##0.00">
                  <c:v>1459.7032539420743</c:v>
                </c:pt>
                <c:pt idx="39" formatCode="#,##0.00">
                  <c:v>1441.4756807831973</c:v>
                </c:pt>
                <c:pt idx="40" formatCode="#,##0.00">
                  <c:v>1423.2481076243203</c:v>
                </c:pt>
              </c:numCache>
            </c:numRef>
          </c:val>
        </c:ser>
        <c:ser>
          <c:idx val="0"/>
          <c:order val="1"/>
          <c:tx>
            <c:strRef>
              <c:f>'Raw data 2DS'!$B$96</c:f>
              <c:strCache>
                <c:ptCount val="1"/>
                <c:pt idx="0">
                  <c:v>Other Industry Scope 2 emissions (MtCO2)</c:v>
                </c:pt>
              </c:strCache>
            </c:strRef>
          </c:tx>
          <c:spPr>
            <a:solidFill>
              <a:schemeClr val="accent1">
                <a:lumMod val="40000"/>
                <a:lumOff val="60000"/>
              </a:schemeClr>
            </a:solidFill>
            <a:ln>
              <a:noFill/>
            </a:ln>
            <a:effectLst/>
          </c:spPr>
          <c:cat>
            <c:numRef>
              <c:f>'Raw data 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2DS'!$F$96:$AT$96</c:f>
              <c:numCache>
                <c:formatCode>General</c:formatCode>
                <c:ptCount val="41"/>
                <c:pt idx="4" formatCode="#,##0.00">
                  <c:v>2541.2199103500943</c:v>
                </c:pt>
                <c:pt idx="5" formatCode="#,##0.00">
                  <c:v>2478.5554492633173</c:v>
                </c:pt>
                <c:pt idx="6" formatCode="#,##0.00">
                  <c:v>2415.8909881765403</c:v>
                </c:pt>
                <c:pt idx="7" formatCode="#,##0.00">
                  <c:v>2353.2265270897633</c:v>
                </c:pt>
                <c:pt idx="8" formatCode="#,##0.00">
                  <c:v>2290.5620660029863</c:v>
                </c:pt>
                <c:pt idx="9" formatCode="#,##0.00">
                  <c:v>2227.8976049162093</c:v>
                </c:pt>
                <c:pt idx="10" formatCode="#,##0.00">
                  <c:v>2165.2331438294323</c:v>
                </c:pt>
                <c:pt idx="11" formatCode="#,##0.00">
                  <c:v>2102.5686827426553</c:v>
                </c:pt>
                <c:pt idx="12" formatCode="#,##0.00">
                  <c:v>2039.904221655878</c:v>
                </c:pt>
                <c:pt idx="13" formatCode="#,##0.00">
                  <c:v>1977.239760569101</c:v>
                </c:pt>
                <c:pt idx="14" formatCode="#,##0.00">
                  <c:v>1914.575299482324</c:v>
                </c:pt>
                <c:pt idx="15" formatCode="#,##0.00">
                  <c:v>1851.910838395547</c:v>
                </c:pt>
                <c:pt idx="16" formatCode="#,##0.00">
                  <c:v>1744.1827745454796</c:v>
                </c:pt>
                <c:pt idx="17" formatCode="#,##0.00">
                  <c:v>1636.4547106954121</c:v>
                </c:pt>
                <c:pt idx="18" formatCode="#,##0.00">
                  <c:v>1528.7266468453449</c:v>
                </c:pt>
                <c:pt idx="19" formatCode="#,##0.00">
                  <c:v>1420.9985829952775</c:v>
                </c:pt>
                <c:pt idx="20" formatCode="#,##0.00">
                  <c:v>1313.2705191452101</c:v>
                </c:pt>
                <c:pt idx="21" formatCode="#,##0.00">
                  <c:v>1221.8033507924608</c:v>
                </c:pt>
                <c:pt idx="22" formatCode="#,##0.00">
                  <c:v>1130.3361824397116</c:v>
                </c:pt>
                <c:pt idx="23" formatCode="#,##0.00">
                  <c:v>1038.8690140869624</c:v>
                </c:pt>
                <c:pt idx="24" formatCode="#,##0.00">
                  <c:v>947.40184573421311</c:v>
                </c:pt>
                <c:pt idx="25" formatCode="#,##0.00">
                  <c:v>855.93467738146387</c:v>
                </c:pt>
                <c:pt idx="26" formatCode="#,##0.00">
                  <c:v>804.16616731584111</c:v>
                </c:pt>
                <c:pt idx="27" formatCode="#,##0.00">
                  <c:v>752.39765725021823</c:v>
                </c:pt>
                <c:pt idx="28" formatCode="#,##0.00">
                  <c:v>700.62914718459547</c:v>
                </c:pt>
                <c:pt idx="29" formatCode="#,##0.00">
                  <c:v>648.86063711897259</c:v>
                </c:pt>
                <c:pt idx="30" formatCode="#,##0.00">
                  <c:v>597.09212705334983</c:v>
                </c:pt>
                <c:pt idx="31" formatCode="#,##0.00">
                  <c:v>552.82112807517126</c:v>
                </c:pt>
                <c:pt idx="32" formatCode="#,##0.00">
                  <c:v>508.55012909699269</c:v>
                </c:pt>
                <c:pt idx="33" formatCode="#,##0.00">
                  <c:v>464.27913011881407</c:v>
                </c:pt>
                <c:pt idx="34" formatCode="#,##0.00">
                  <c:v>420.0081311406355</c:v>
                </c:pt>
                <c:pt idx="35" formatCode="#,##0.00">
                  <c:v>375.73713216245693</c:v>
                </c:pt>
                <c:pt idx="36" formatCode="#,##0.00">
                  <c:v>353.01754965054727</c:v>
                </c:pt>
                <c:pt idx="37" formatCode="#,##0.00">
                  <c:v>330.2979671386376</c:v>
                </c:pt>
                <c:pt idx="38" formatCode="#,##0.00">
                  <c:v>307.57838462672794</c:v>
                </c:pt>
                <c:pt idx="39" formatCode="#,##0.00">
                  <c:v>284.85880211481827</c:v>
                </c:pt>
                <c:pt idx="40" formatCode="#,##0.00">
                  <c:v>262.13921960290861</c:v>
                </c:pt>
              </c:numCache>
            </c:numRef>
          </c:val>
        </c:ser>
        <c:dLbls>
          <c:showLegendKey val="0"/>
          <c:showVal val="0"/>
          <c:showCatName val="0"/>
          <c:showSerName val="0"/>
          <c:showPercent val="0"/>
          <c:showBubbleSize val="0"/>
        </c:dLbls>
        <c:axId val="543118032"/>
        <c:axId val="543118592"/>
      </c:areaChart>
      <c:lineChart>
        <c:grouping val="standard"/>
        <c:varyColors val="0"/>
        <c:ser>
          <c:idx val="2"/>
          <c:order val="2"/>
          <c:tx>
            <c:strRef>
              <c:f>'Raw data 2DS'!$B$99</c:f>
              <c:strCache>
                <c:ptCount val="1"/>
                <c:pt idx="0">
                  <c:v>OEM Scope 2 emissions (MtCO2)</c:v>
                </c:pt>
              </c:strCache>
            </c:strRef>
          </c:tx>
          <c:spPr>
            <a:ln w="28575" cap="rnd">
              <a:solidFill>
                <a:schemeClr val="accent1"/>
              </a:solidFill>
              <a:round/>
            </a:ln>
            <a:effectLst/>
          </c:spPr>
          <c:marker>
            <c:symbol val="none"/>
          </c:marker>
          <c:val>
            <c:numRef>
              <c:f>'Raw data 2DS'!$F$99:$AT$99</c:f>
              <c:numCache>
                <c:formatCode>General</c:formatCode>
                <c:ptCount val="41"/>
                <c:pt idx="2" formatCode="#,##0.00">
                  <c:v>33.66034211104455</c:v>
                </c:pt>
                <c:pt idx="3" formatCode="#,##0.00">
                  <c:v>36.656584771043129</c:v>
                </c:pt>
                <c:pt idx="4" formatCode="#,##0.00">
                  <c:v>39.652827431041715</c:v>
                </c:pt>
                <c:pt idx="5" formatCode="#,##0.00">
                  <c:v>42.649070091040294</c:v>
                </c:pt>
                <c:pt idx="6" formatCode="#,##0.00">
                  <c:v>41.570788387114092</c:v>
                </c:pt>
                <c:pt idx="7" formatCode="#,##0.00">
                  <c:v>40.492506683187891</c:v>
                </c:pt>
                <c:pt idx="8" formatCode="#,##0.00">
                  <c:v>39.414224979261697</c:v>
                </c:pt>
                <c:pt idx="9" formatCode="#,##0.00">
                  <c:v>38.335943275335495</c:v>
                </c:pt>
                <c:pt idx="10" formatCode="#,##0.00">
                  <c:v>37.257661571409294</c:v>
                </c:pt>
                <c:pt idx="11" formatCode="#,##0.00">
                  <c:v>36.179379867483092</c:v>
                </c:pt>
                <c:pt idx="12" formatCode="#,##0.00">
                  <c:v>35.101098163556891</c:v>
                </c:pt>
                <c:pt idx="13" formatCode="#,##0.00">
                  <c:v>34.02281645963069</c:v>
                </c:pt>
                <c:pt idx="14" formatCode="#,##0.00">
                  <c:v>32.944534755704488</c:v>
                </c:pt>
                <c:pt idx="15" formatCode="#,##0.00">
                  <c:v>31.866253051778283</c:v>
                </c:pt>
                <c:pt idx="16" formatCode="#,##0.00">
                  <c:v>30.01255163578649</c:v>
                </c:pt>
                <c:pt idx="17" formatCode="#,##0.00">
                  <c:v>28.158850219794697</c:v>
                </c:pt>
                <c:pt idx="18" formatCode="#,##0.00">
                  <c:v>26.305148803802901</c:v>
                </c:pt>
                <c:pt idx="19" formatCode="#,##0.00">
                  <c:v>24.451447387811108</c:v>
                </c:pt>
                <c:pt idx="20" formatCode="#,##0.00">
                  <c:v>22.597745971819315</c:v>
                </c:pt>
                <c:pt idx="21" formatCode="#,##0.00">
                  <c:v>21.023849501088815</c:v>
                </c:pt>
                <c:pt idx="22" formatCode="#,##0.00">
                  <c:v>19.449953030358312</c:v>
                </c:pt>
                <c:pt idx="23" formatCode="#,##0.00">
                  <c:v>17.876056559627813</c:v>
                </c:pt>
                <c:pt idx="24" formatCode="#,##0.00">
                  <c:v>16.302160088897313</c:v>
                </c:pt>
                <c:pt idx="25" formatCode="#,##0.00">
                  <c:v>14.728263618166812</c:v>
                </c:pt>
                <c:pt idx="26" formatCode="#,##0.00">
                  <c:v>13.837471033738773</c:v>
                </c:pt>
                <c:pt idx="27" formatCode="#,##0.00">
                  <c:v>12.946678449310733</c:v>
                </c:pt>
                <c:pt idx="28" formatCode="#,##0.00">
                  <c:v>12.055885864882693</c:v>
                </c:pt>
                <c:pt idx="29" formatCode="#,##0.00">
                  <c:v>11.165093280454652</c:v>
                </c:pt>
                <c:pt idx="30" formatCode="#,##0.00">
                  <c:v>10.274300696026613</c:v>
                </c:pt>
                <c:pt idx="31" formatCode="#,##0.00">
                  <c:v>9.5125194984415824</c:v>
                </c:pt>
                <c:pt idx="32" formatCode="#,##0.00">
                  <c:v>8.7507383008565522</c:v>
                </c:pt>
                <c:pt idx="33" formatCode="#,##0.00">
                  <c:v>7.988957103271523</c:v>
                </c:pt>
                <c:pt idx="34" formatCode="#,##0.00">
                  <c:v>7.2271759056864928</c:v>
                </c:pt>
                <c:pt idx="35" formatCode="#,##0.00">
                  <c:v>6.4653947081014627</c:v>
                </c:pt>
                <c:pt idx="36" formatCode="#,##0.00">
                  <c:v>6.0744536592426979</c:v>
                </c:pt>
                <c:pt idx="37" formatCode="#,##0.00">
                  <c:v>5.6835126103839331</c:v>
                </c:pt>
                <c:pt idx="38" formatCode="#,##0.00">
                  <c:v>5.2925715615251683</c:v>
                </c:pt>
                <c:pt idx="39" formatCode="#,##0.00">
                  <c:v>4.9016305126664035</c:v>
                </c:pt>
                <c:pt idx="40" formatCode="#,##0.00">
                  <c:v>4.5106894638076387</c:v>
                </c:pt>
              </c:numCache>
            </c:numRef>
          </c:val>
          <c:smooth val="0"/>
        </c:ser>
        <c:ser>
          <c:idx val="3"/>
          <c:order val="3"/>
          <c:tx>
            <c:strRef>
              <c:f>'Raw data 2DS'!$B$100</c:f>
              <c:strCache>
                <c:ptCount val="1"/>
                <c:pt idx="0">
                  <c:v>OEM Scope 1 emissions (MtCO2)</c:v>
                </c:pt>
              </c:strCache>
            </c:strRef>
          </c:tx>
          <c:spPr>
            <a:ln w="28575" cap="rnd">
              <a:solidFill>
                <a:schemeClr val="accent2"/>
              </a:solidFill>
              <a:round/>
            </a:ln>
            <a:effectLst/>
          </c:spPr>
          <c:marker>
            <c:symbol val="none"/>
          </c:marker>
          <c:val>
            <c:numRef>
              <c:f>'Raw data 2DS'!$F$100:$AT$100</c:f>
              <c:numCache>
                <c:formatCode>General</c:formatCode>
                <c:ptCount val="41"/>
                <c:pt idx="2" formatCode="#,##0.00">
                  <c:v>19.074519197709588</c:v>
                </c:pt>
                <c:pt idx="3" formatCode="#,##0.00">
                  <c:v>19.16114678128724</c:v>
                </c:pt>
                <c:pt idx="4" formatCode="#,##0.00">
                  <c:v>19.247774364864892</c:v>
                </c:pt>
                <c:pt idx="5" formatCode="#,##0.00">
                  <c:v>19.334401948442544</c:v>
                </c:pt>
                <c:pt idx="6" formatCode="#,##0.00">
                  <c:v>19.051165076197549</c:v>
                </c:pt>
                <c:pt idx="7" formatCode="#,##0.00">
                  <c:v>18.767928203952554</c:v>
                </c:pt>
                <c:pt idx="8" formatCode="#,##0.00">
                  <c:v>18.484691331707559</c:v>
                </c:pt>
                <c:pt idx="9" formatCode="#,##0.00">
                  <c:v>18.201454459462564</c:v>
                </c:pt>
                <c:pt idx="10" formatCode="#,##0.00">
                  <c:v>17.918217587217569</c:v>
                </c:pt>
                <c:pt idx="11" formatCode="#,##0.00">
                  <c:v>17.634980714972574</c:v>
                </c:pt>
                <c:pt idx="12" formatCode="#,##0.00">
                  <c:v>17.351743842727579</c:v>
                </c:pt>
                <c:pt idx="13" formatCode="#,##0.00">
                  <c:v>17.068506970482584</c:v>
                </c:pt>
                <c:pt idx="14" formatCode="#,##0.00">
                  <c:v>16.785270098237589</c:v>
                </c:pt>
                <c:pt idx="15" formatCode="#,##0.00">
                  <c:v>16.502033225992594</c:v>
                </c:pt>
                <c:pt idx="16" formatCode="#,##0.00">
                  <c:v>16.290566871441822</c:v>
                </c:pt>
                <c:pt idx="17" formatCode="#,##0.00">
                  <c:v>16.079100516891046</c:v>
                </c:pt>
                <c:pt idx="18" formatCode="#,##0.00">
                  <c:v>15.867634162340273</c:v>
                </c:pt>
                <c:pt idx="19" formatCode="#,##0.00">
                  <c:v>15.656167807789501</c:v>
                </c:pt>
                <c:pt idx="20" formatCode="#,##0.00">
                  <c:v>15.444701453238727</c:v>
                </c:pt>
                <c:pt idx="21" formatCode="#,##0.00">
                  <c:v>15.243664161601801</c:v>
                </c:pt>
                <c:pt idx="22" formatCode="#,##0.00">
                  <c:v>15.042626869964877</c:v>
                </c:pt>
                <c:pt idx="23" formatCode="#,##0.00">
                  <c:v>14.841589578327952</c:v>
                </c:pt>
                <c:pt idx="24" formatCode="#,##0.00">
                  <c:v>14.640552286691028</c:v>
                </c:pt>
                <c:pt idx="25" formatCode="#,##0.00">
                  <c:v>14.439514995054102</c:v>
                </c:pt>
                <c:pt idx="26" formatCode="#,##0.00">
                  <c:v>14.274659975330525</c:v>
                </c:pt>
                <c:pt idx="27" formatCode="#,##0.00">
                  <c:v>14.109804955606949</c:v>
                </c:pt>
                <c:pt idx="28" formatCode="#,##0.00">
                  <c:v>13.944949935883372</c:v>
                </c:pt>
                <c:pt idx="29" formatCode="#,##0.00">
                  <c:v>13.780094916159795</c:v>
                </c:pt>
                <c:pt idx="30" formatCode="#,##0.00">
                  <c:v>13.615239896436218</c:v>
                </c:pt>
                <c:pt idx="31" formatCode="#,##0.00">
                  <c:v>13.51963551453108</c:v>
                </c:pt>
                <c:pt idx="32" formatCode="#,##0.00">
                  <c:v>13.424031132625942</c:v>
                </c:pt>
                <c:pt idx="33" formatCode="#,##0.00">
                  <c:v>13.328426750720803</c:v>
                </c:pt>
                <c:pt idx="34" formatCode="#,##0.00">
                  <c:v>13.232822368815665</c:v>
                </c:pt>
                <c:pt idx="35" formatCode="#,##0.00">
                  <c:v>13.137217986910526</c:v>
                </c:pt>
                <c:pt idx="36" formatCode="#,##0.00">
                  <c:v>12.979094756661668</c:v>
                </c:pt>
                <c:pt idx="37" formatCode="#,##0.00">
                  <c:v>12.82097152641281</c:v>
                </c:pt>
                <c:pt idx="38" formatCode="#,##0.00">
                  <c:v>12.662848296163952</c:v>
                </c:pt>
                <c:pt idx="39" formatCode="#,##0.00">
                  <c:v>12.504725065915094</c:v>
                </c:pt>
                <c:pt idx="40" formatCode="#,##0.00">
                  <c:v>12.346601835666236</c:v>
                </c:pt>
              </c:numCache>
            </c:numRef>
          </c:val>
          <c:smooth val="0"/>
        </c:ser>
        <c:ser>
          <c:idx val="4"/>
          <c:order val="4"/>
          <c:tx>
            <c:strRef>
              <c:f>'Raw data 2DS'!$B$133</c:f>
              <c:strCache>
                <c:ptCount val="1"/>
                <c:pt idx="0">
                  <c:v>OLD OEM Scope 1 emissions</c:v>
                </c:pt>
              </c:strCache>
            </c:strRef>
          </c:tx>
          <c:spPr>
            <a:ln w="28575" cap="rnd">
              <a:solidFill>
                <a:schemeClr val="accent2"/>
              </a:solidFill>
              <a:prstDash val="sysDash"/>
              <a:round/>
            </a:ln>
            <a:effectLst/>
          </c:spPr>
          <c:marker>
            <c:symbol val="none"/>
          </c:marker>
          <c:val>
            <c:numRef>
              <c:f>'Raw data 2DS'!$F$133:$AT$133</c:f>
              <c:numCache>
                <c:formatCode>General</c:formatCode>
                <c:ptCount val="41"/>
                <c:pt idx="2" formatCode="#,##0.00">
                  <c:v>21.340633097842264</c:v>
                </c:pt>
                <c:pt idx="3" formatCode="#,##0.00">
                  <c:v>20.671889381375692</c:v>
                </c:pt>
                <c:pt idx="4" formatCode="#,##0.00">
                  <c:v>20.003145664909116</c:v>
                </c:pt>
                <c:pt idx="5" formatCode="#,##0.00">
                  <c:v>19.334401948442544</c:v>
                </c:pt>
                <c:pt idx="6" formatCode="#,##0.00">
                  <c:v>19.055445145168289</c:v>
                </c:pt>
                <c:pt idx="7" formatCode="#,##0.00">
                  <c:v>18.776488341894034</c:v>
                </c:pt>
                <c:pt idx="8" formatCode="#,##0.00">
                  <c:v>18.497531538619782</c:v>
                </c:pt>
                <c:pt idx="9" formatCode="#,##0.00">
                  <c:v>18.218574735345527</c:v>
                </c:pt>
                <c:pt idx="10" formatCode="#,##0.00">
                  <c:v>17.939617932071272</c:v>
                </c:pt>
                <c:pt idx="11" formatCode="#,##0.00">
                  <c:v>17.660661128797017</c:v>
                </c:pt>
                <c:pt idx="12" formatCode="#,##0.00">
                  <c:v>17.381704325522762</c:v>
                </c:pt>
                <c:pt idx="13" formatCode="#,##0.00">
                  <c:v>17.10274752224851</c:v>
                </c:pt>
                <c:pt idx="14" formatCode="#,##0.00">
                  <c:v>16.823790718974255</c:v>
                </c:pt>
                <c:pt idx="15" formatCode="#,##0.00">
                  <c:v>16.5448339157</c:v>
                </c:pt>
                <c:pt idx="16" formatCode="#,##0.00">
                  <c:v>16.308316816698476</c:v>
                </c:pt>
                <c:pt idx="17" formatCode="#,##0.00">
                  <c:v>16.071799717696951</c:v>
                </c:pt>
                <c:pt idx="18" formatCode="#,##0.00">
                  <c:v>15.835282618695423</c:v>
                </c:pt>
                <c:pt idx="19" formatCode="#,##0.00">
                  <c:v>15.598765519693899</c:v>
                </c:pt>
                <c:pt idx="20" formatCode="#,##0.00">
                  <c:v>15.362248420692373</c:v>
                </c:pt>
                <c:pt idx="21" formatCode="#,##0.00">
                  <c:v>15.14738936012378</c:v>
                </c:pt>
                <c:pt idx="22" formatCode="#,##0.00">
                  <c:v>14.932530299555186</c:v>
                </c:pt>
                <c:pt idx="23" formatCode="#,##0.00">
                  <c:v>14.717671238986595</c:v>
                </c:pt>
                <c:pt idx="24" formatCode="#,##0.00">
                  <c:v>14.502812178418001</c:v>
                </c:pt>
                <c:pt idx="25" formatCode="#,##0.00">
                  <c:v>14.287953117849408</c:v>
                </c:pt>
                <c:pt idx="26" formatCode="#,##0.00">
                  <c:v>14.113119633404883</c:v>
                </c:pt>
                <c:pt idx="27" formatCode="#,##0.00">
                  <c:v>13.938286148960357</c:v>
                </c:pt>
                <c:pt idx="28" formatCode="#,##0.00">
                  <c:v>13.763452664515833</c:v>
                </c:pt>
                <c:pt idx="29" formatCode="#,##0.00">
                  <c:v>13.588619180071309</c:v>
                </c:pt>
                <c:pt idx="30" formatCode="#,##0.00">
                  <c:v>13.413785695626784</c:v>
                </c:pt>
                <c:pt idx="31" formatCode="#,##0.00">
                  <c:v>13.319391660679532</c:v>
                </c:pt>
                <c:pt idx="32" formatCode="#,##0.00">
                  <c:v>13.22499762573228</c:v>
                </c:pt>
                <c:pt idx="33" formatCode="#,##0.00">
                  <c:v>13.130603590785027</c:v>
                </c:pt>
                <c:pt idx="34" formatCode="#,##0.00">
                  <c:v>13.036209555837775</c:v>
                </c:pt>
                <c:pt idx="35" formatCode="#,##0.00">
                  <c:v>12.941815520890522</c:v>
                </c:pt>
                <c:pt idx="36" formatCode="#,##0.00">
                  <c:v>12.784989116977737</c:v>
                </c:pt>
                <c:pt idx="37" formatCode="#,##0.00">
                  <c:v>12.628162713064953</c:v>
                </c:pt>
                <c:pt idx="38" formatCode="#,##0.00">
                  <c:v>12.471336309152166</c:v>
                </c:pt>
                <c:pt idx="39" formatCode="#,##0.00">
                  <c:v>12.314509905239381</c:v>
                </c:pt>
                <c:pt idx="40" formatCode="#,##0.00">
                  <c:v>12.157683501326595</c:v>
                </c:pt>
              </c:numCache>
            </c:numRef>
          </c:val>
          <c:smooth val="0"/>
        </c:ser>
        <c:ser>
          <c:idx val="5"/>
          <c:order val="5"/>
          <c:tx>
            <c:strRef>
              <c:f>'Raw data 2DS'!$B$134</c:f>
              <c:strCache>
                <c:ptCount val="1"/>
                <c:pt idx="0">
                  <c:v>OLD OEM Scope 2 emissions</c:v>
                </c:pt>
              </c:strCache>
            </c:strRef>
          </c:tx>
          <c:spPr>
            <a:ln w="28575" cap="rnd">
              <a:solidFill>
                <a:schemeClr val="accent1"/>
              </a:solidFill>
              <a:prstDash val="sysDash"/>
              <a:round/>
            </a:ln>
            <a:effectLst/>
          </c:spPr>
          <c:marker>
            <c:symbol val="none"/>
          </c:marker>
          <c:val>
            <c:numRef>
              <c:f>'Raw data 2DS'!$F$134:$AT$134</c:f>
              <c:numCache>
                <c:formatCode>General</c:formatCode>
                <c:ptCount val="41"/>
                <c:pt idx="2" formatCode="#,##0.00">
                  <c:v>37.659298433373166</c:v>
                </c:pt>
                <c:pt idx="3" formatCode="#,##0.00">
                  <c:v>39.32255565259554</c:v>
                </c:pt>
                <c:pt idx="4" formatCode="#,##0.00">
                  <c:v>40.985812871817927</c:v>
                </c:pt>
                <c:pt idx="5" formatCode="#,##0.00">
                  <c:v>42.649070091040301</c:v>
                </c:pt>
                <c:pt idx="6" formatCode="#,##0.00">
                  <c:v>43.237450017782457</c:v>
                </c:pt>
                <c:pt idx="7" formatCode="#,##0.00">
                  <c:v>43.825829944524614</c:v>
                </c:pt>
                <c:pt idx="8" formatCode="#,##0.00">
                  <c:v>44.41420987126677</c:v>
                </c:pt>
                <c:pt idx="9" formatCode="#,##0.00">
                  <c:v>45.002589798008927</c:v>
                </c:pt>
                <c:pt idx="10" formatCode="#,##0.00">
                  <c:v>45.590969724751083</c:v>
                </c:pt>
                <c:pt idx="11" formatCode="#,##0.00">
                  <c:v>42.713568050879729</c:v>
                </c:pt>
                <c:pt idx="12" formatCode="#,##0.00">
                  <c:v>39.836166377008375</c:v>
                </c:pt>
                <c:pt idx="13" formatCode="#,##0.00">
                  <c:v>36.958764703137028</c:v>
                </c:pt>
                <c:pt idx="14" formatCode="#,##0.00">
                  <c:v>34.081363029265674</c:v>
                </c:pt>
                <c:pt idx="15" formatCode="#,##0.00">
                  <c:v>31.20396135539432</c:v>
                </c:pt>
                <c:pt idx="16" formatCode="#,##0.00">
                  <c:v>29.693841555950375</c:v>
                </c:pt>
                <c:pt idx="17" formatCode="#,##0.00">
                  <c:v>28.183721756506429</c:v>
                </c:pt>
                <c:pt idx="18" formatCode="#,##0.00">
                  <c:v>26.673601957062484</c:v>
                </c:pt>
                <c:pt idx="19" formatCode="#,##0.00">
                  <c:v>25.163482157618539</c:v>
                </c:pt>
                <c:pt idx="20" formatCode="#,##0.00">
                  <c:v>23.653362358174594</c:v>
                </c:pt>
                <c:pt idx="21" formatCode="#,##0.00">
                  <c:v>21.948345810887638</c:v>
                </c:pt>
                <c:pt idx="22" formatCode="#,##0.00">
                  <c:v>20.243329263600685</c:v>
                </c:pt>
                <c:pt idx="23" formatCode="#,##0.00">
                  <c:v>18.53831271631373</c:v>
                </c:pt>
                <c:pt idx="24" formatCode="#,##0.00">
                  <c:v>16.833296169026777</c:v>
                </c:pt>
                <c:pt idx="25" formatCode="#,##0.00">
                  <c:v>15.128279621739823</c:v>
                </c:pt>
                <c:pt idx="26" formatCode="#,##0.00">
                  <c:v>14.150349467733681</c:v>
                </c:pt>
                <c:pt idx="27" formatCode="#,##0.00">
                  <c:v>13.172419313727538</c:v>
                </c:pt>
                <c:pt idx="28" formatCode="#,##0.00">
                  <c:v>12.194489159721394</c:v>
                </c:pt>
                <c:pt idx="29" formatCode="#,##0.00">
                  <c:v>11.216559005715251</c:v>
                </c:pt>
                <c:pt idx="30" formatCode="#,##0.00">
                  <c:v>10.238628851709109</c:v>
                </c:pt>
                <c:pt idx="31" formatCode="#,##0.00">
                  <c:v>9.4732576083617754</c:v>
                </c:pt>
                <c:pt idx="32" formatCode="#,##0.00">
                  <c:v>8.707886365014442</c:v>
                </c:pt>
                <c:pt idx="33" formatCode="#,##0.00">
                  <c:v>7.9425151216671068</c:v>
                </c:pt>
                <c:pt idx="34" formatCode="#,##0.00">
                  <c:v>7.1771438783197725</c:v>
                </c:pt>
                <c:pt idx="35" formatCode="#,##0.00">
                  <c:v>6.4117726349724391</c:v>
                </c:pt>
                <c:pt idx="36" formatCode="#,##0.00">
                  <c:v>6.0137772549958104</c:v>
                </c:pt>
                <c:pt idx="37" formatCode="#,##0.00">
                  <c:v>5.6157818750191835</c:v>
                </c:pt>
                <c:pt idx="38" formatCode="#,##0.00">
                  <c:v>5.2177864950425548</c:v>
                </c:pt>
                <c:pt idx="39" formatCode="#,##0.00">
                  <c:v>4.8197911150659269</c:v>
                </c:pt>
                <c:pt idx="40" formatCode="#,##0.00">
                  <c:v>4.4217957350892991</c:v>
                </c:pt>
              </c:numCache>
            </c:numRef>
          </c:val>
          <c:smooth val="0"/>
        </c:ser>
        <c:dLbls>
          <c:showLegendKey val="0"/>
          <c:showVal val="0"/>
          <c:showCatName val="0"/>
          <c:showSerName val="0"/>
          <c:showPercent val="0"/>
          <c:showBubbleSize val="0"/>
        </c:dLbls>
        <c:marker val="1"/>
        <c:smooth val="0"/>
        <c:axId val="543119712"/>
        <c:axId val="543119152"/>
      </c:lineChart>
      <c:catAx>
        <c:axId val="54311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118592"/>
        <c:crosses val="autoZero"/>
        <c:auto val="1"/>
        <c:lblAlgn val="ctr"/>
        <c:lblOffset val="100"/>
        <c:noMultiLvlLbl val="0"/>
      </c:catAx>
      <c:valAx>
        <c:axId val="54311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118032"/>
        <c:crosses val="autoZero"/>
        <c:crossBetween val="between"/>
      </c:valAx>
      <c:valAx>
        <c:axId val="5431191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119712"/>
        <c:crosses val="max"/>
        <c:crossBetween val="between"/>
      </c:valAx>
      <c:catAx>
        <c:axId val="543119712"/>
        <c:scaling>
          <c:orientation val="minMax"/>
        </c:scaling>
        <c:delete val="1"/>
        <c:axPos val="b"/>
        <c:majorTickMark val="out"/>
        <c:minorTickMark val="none"/>
        <c:tickLblPos val="nextTo"/>
        <c:crossAx val="543119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Absolute pathway: Other Industry vs Revised OEM vs Old OEM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'Raw data 2DS'!$B$136</c:f>
              <c:strCache>
                <c:ptCount val="1"/>
                <c:pt idx="0">
                  <c:v>OLD OEM S2 intensity</c:v>
                </c:pt>
              </c:strCache>
            </c:strRef>
          </c:tx>
          <c:spPr>
            <a:ln w="28575" cap="rnd">
              <a:solidFill>
                <a:schemeClr val="accent1"/>
              </a:solidFill>
              <a:prstDash val="sysDash"/>
              <a:round/>
            </a:ln>
            <a:effectLst/>
          </c:spPr>
          <c:marker>
            <c:symbol val="none"/>
          </c:marker>
          <c:cat>
            <c:numRef>
              <c:f>'Raw data 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2DS'!$F$136:$AT$136</c:f>
              <c:numCache>
                <c:formatCode>General</c:formatCode>
                <c:ptCount val="41"/>
                <c:pt idx="2" formatCode="#,##0.00">
                  <c:v>482.8115183765791</c:v>
                </c:pt>
                <c:pt idx="3" formatCode="#,##0.00">
                  <c:v>499.4770745047918</c:v>
                </c:pt>
                <c:pt idx="4" formatCode="#,##0.00">
                  <c:v>516.1426306330045</c:v>
                </c:pt>
                <c:pt idx="5" formatCode="#,##0.00">
                  <c:v>532.80818676121714</c:v>
                </c:pt>
                <c:pt idx="6" formatCode="#,##0.00">
                  <c:v>522.66287205421781</c:v>
                </c:pt>
                <c:pt idx="7" formatCode="#,##0.00">
                  <c:v>512.51755734721849</c:v>
                </c:pt>
                <c:pt idx="8" formatCode="#,##0.00">
                  <c:v>502.3722426402191</c:v>
                </c:pt>
                <c:pt idx="9" formatCode="#,##0.00">
                  <c:v>492.22692793321977</c:v>
                </c:pt>
                <c:pt idx="10" formatCode="#,##0.00">
                  <c:v>482.08161322622044</c:v>
                </c:pt>
                <c:pt idx="11" formatCode="#,##0.00">
                  <c:v>448.11532376694049</c:v>
                </c:pt>
                <c:pt idx="12" formatCode="#,##0.00">
                  <c:v>414.1490343076606</c:v>
                </c:pt>
                <c:pt idx="13" formatCode="#,##0.00">
                  <c:v>380.18274484838065</c:v>
                </c:pt>
                <c:pt idx="14" formatCode="#,##0.00">
                  <c:v>346.2164553891007</c:v>
                </c:pt>
                <c:pt idx="15" formatCode="#,##0.00">
                  <c:v>312.25016592982075</c:v>
                </c:pt>
                <c:pt idx="16" formatCode="#,##0.00">
                  <c:v>290.04835769236371</c:v>
                </c:pt>
                <c:pt idx="17" formatCode="#,##0.00">
                  <c:v>267.84654945490666</c:v>
                </c:pt>
                <c:pt idx="18" formatCode="#,##0.00">
                  <c:v>245.64474121744959</c:v>
                </c:pt>
                <c:pt idx="19" formatCode="#,##0.00">
                  <c:v>223.44293297999252</c:v>
                </c:pt>
                <c:pt idx="20" formatCode="#,##0.00">
                  <c:v>201.24112474253548</c:v>
                </c:pt>
                <c:pt idx="21" formatCode="#,##0.00">
                  <c:v>186.26221894086018</c:v>
                </c:pt>
                <c:pt idx="22" formatCode="#,##0.00">
                  <c:v>171.28331313918488</c:v>
                </c:pt>
                <c:pt idx="23" formatCode="#,##0.00">
                  <c:v>156.30440733750959</c:v>
                </c:pt>
                <c:pt idx="24" formatCode="#,##0.00">
                  <c:v>141.32550153583432</c:v>
                </c:pt>
                <c:pt idx="25" formatCode="#,##0.00">
                  <c:v>126.34659573415902</c:v>
                </c:pt>
                <c:pt idx="26" formatCode="#,##0.00">
                  <c:v>117.13778310875468</c:v>
                </c:pt>
                <c:pt idx="27" formatCode="#,##0.00">
                  <c:v>107.92897048335033</c:v>
                </c:pt>
                <c:pt idx="28" formatCode="#,##0.00">
                  <c:v>98.720157857945964</c:v>
                </c:pt>
                <c:pt idx="29" formatCode="#,##0.00">
                  <c:v>89.511345232541615</c:v>
                </c:pt>
                <c:pt idx="30" formatCode="#,##0.00">
                  <c:v>80.302532607137266</c:v>
                </c:pt>
                <c:pt idx="31" formatCode="#,##0.00">
                  <c:v>73.343367351897427</c:v>
                </c:pt>
                <c:pt idx="32" formatCode="#,##0.00">
                  <c:v>66.384202096657603</c:v>
                </c:pt>
                <c:pt idx="33" formatCode="#,##0.00">
                  <c:v>59.425036841417764</c:v>
                </c:pt>
                <c:pt idx="34" formatCode="#,##0.00">
                  <c:v>52.465871586177933</c:v>
                </c:pt>
                <c:pt idx="35" formatCode="#,##0.00">
                  <c:v>45.506706330938101</c:v>
                </c:pt>
                <c:pt idx="36" formatCode="#,##0.00">
                  <c:v>42.602741617672599</c:v>
                </c:pt>
                <c:pt idx="37" formatCode="#,##0.00">
                  <c:v>39.698776904407097</c:v>
                </c:pt>
                <c:pt idx="38" formatCode="#,##0.00">
                  <c:v>36.794812191141602</c:v>
                </c:pt>
                <c:pt idx="39" formatCode="#,##0.00">
                  <c:v>33.890847477876093</c:v>
                </c:pt>
                <c:pt idx="40" formatCode="#,##0.00">
                  <c:v>30.986882764610595</c:v>
                </c:pt>
              </c:numCache>
            </c:numRef>
          </c:val>
          <c:smooth val="0"/>
        </c:ser>
        <c:ser>
          <c:idx val="0"/>
          <c:order val="1"/>
          <c:tx>
            <c:strRef>
              <c:f>'Raw data 2DS'!$B$135</c:f>
              <c:strCache>
                <c:ptCount val="1"/>
                <c:pt idx="0">
                  <c:v>OLD OEM S1 intensity</c:v>
                </c:pt>
              </c:strCache>
            </c:strRef>
          </c:tx>
          <c:spPr>
            <a:ln w="28575" cap="rnd">
              <a:solidFill>
                <a:schemeClr val="accent2"/>
              </a:solidFill>
              <a:prstDash val="sysDash"/>
              <a:round/>
            </a:ln>
            <a:effectLst/>
          </c:spPr>
          <c:marker>
            <c:symbol val="none"/>
          </c:marker>
          <c:cat>
            <c:numRef>
              <c:f>'Raw data 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2DS'!$F$135:$AT$135</c:f>
              <c:numCache>
                <c:formatCode>General</c:formatCode>
                <c:ptCount val="41"/>
                <c:pt idx="2" formatCode="#,##0.00">
                  <c:v>273.59786022874698</c:v>
                </c:pt>
                <c:pt idx="3" formatCode="#,##0.00">
                  <c:v>262.91246372440855</c:v>
                </c:pt>
                <c:pt idx="4" formatCode="#,##0.00">
                  <c:v>252.22706722007013</c:v>
                </c:pt>
                <c:pt idx="5" formatCode="#,##0.00">
                  <c:v>241.5416707157317</c:v>
                </c:pt>
                <c:pt idx="6" formatCode="#,##0.00">
                  <c:v>231.17225300962619</c:v>
                </c:pt>
                <c:pt idx="7" formatCode="#,##0.00">
                  <c:v>220.80283530352071</c:v>
                </c:pt>
                <c:pt idx="8" formatCode="#,##0.00">
                  <c:v>210.4334175974152</c:v>
                </c:pt>
                <c:pt idx="9" formatCode="#,##0.00">
                  <c:v>200.06399989130972</c:v>
                </c:pt>
                <c:pt idx="10" formatCode="#,##0.00">
                  <c:v>189.69458218520421</c:v>
                </c:pt>
                <c:pt idx="11" formatCode="#,##0.00">
                  <c:v>184.86766121963299</c:v>
                </c:pt>
                <c:pt idx="12" formatCode="#,##0.00">
                  <c:v>180.0407402540618</c:v>
                </c:pt>
                <c:pt idx="13" formatCode="#,##0.00">
                  <c:v>175.21381928849058</c:v>
                </c:pt>
                <c:pt idx="14" formatCode="#,##0.00">
                  <c:v>170.38689832291939</c:v>
                </c:pt>
                <c:pt idx="15" formatCode="#,##0.00">
                  <c:v>165.55997735734817</c:v>
                </c:pt>
                <c:pt idx="16" formatCode="#,##0.00">
                  <c:v>158.58816528932559</c:v>
                </c:pt>
                <c:pt idx="17" formatCode="#,##0.00">
                  <c:v>151.616353221303</c:v>
                </c:pt>
                <c:pt idx="18" formatCode="#,##0.00">
                  <c:v>144.64454115328039</c:v>
                </c:pt>
                <c:pt idx="19" formatCode="#,##0.00">
                  <c:v>137.6727290852578</c:v>
                </c:pt>
                <c:pt idx="20" formatCode="#,##0.00">
                  <c:v>130.70091701723521</c:v>
                </c:pt>
                <c:pt idx="21" formatCode="#,##0.00">
                  <c:v>128.42642464524369</c:v>
                </c:pt>
                <c:pt idx="22" formatCode="#,##0.00">
                  <c:v>126.15193227325214</c:v>
                </c:pt>
                <c:pt idx="23" formatCode="#,##0.00">
                  <c:v>123.8774399012606</c:v>
                </c:pt>
                <c:pt idx="24" formatCode="#,##0.00">
                  <c:v>121.60294752926907</c:v>
                </c:pt>
                <c:pt idx="25" formatCode="#,##0.00">
                  <c:v>119.32845515727753</c:v>
                </c:pt>
                <c:pt idx="26" formatCode="#,##0.00">
                  <c:v>116.50388161937026</c:v>
                </c:pt>
                <c:pt idx="27" formatCode="#,##0.00">
                  <c:v>113.67930808146299</c:v>
                </c:pt>
                <c:pt idx="28" formatCode="#,##0.00">
                  <c:v>110.85473454355574</c:v>
                </c:pt>
                <c:pt idx="29" formatCode="#,##0.00">
                  <c:v>108.03016100564847</c:v>
                </c:pt>
                <c:pt idx="30" formatCode="#,##0.00">
                  <c:v>105.2055874677412</c:v>
                </c:pt>
                <c:pt idx="31" formatCode="#,##0.00">
                  <c:v>102.53503399220023</c:v>
                </c:pt>
                <c:pt idx="32" formatCode="#,##0.00">
                  <c:v>99.864480516659256</c:v>
                </c:pt>
                <c:pt idx="33" formatCode="#,##0.00">
                  <c:v>97.193927041118286</c:v>
                </c:pt>
                <c:pt idx="34" formatCode="#,##0.00">
                  <c:v>94.523373565577316</c:v>
                </c:pt>
                <c:pt idx="35" formatCode="#,##0.00">
                  <c:v>91.852820090036346</c:v>
                </c:pt>
                <c:pt idx="36" formatCode="#,##0.00">
                  <c:v>90.521881414977642</c:v>
                </c:pt>
                <c:pt idx="37" formatCode="#,##0.00">
                  <c:v>89.190942739918952</c:v>
                </c:pt>
                <c:pt idx="38" formatCode="#,##0.00">
                  <c:v>87.860004064860249</c:v>
                </c:pt>
                <c:pt idx="39" formatCode="#,##0.00">
                  <c:v>86.529065389801559</c:v>
                </c:pt>
                <c:pt idx="40" formatCode="#,##0.00">
                  <c:v>85.198126714742855</c:v>
                </c:pt>
              </c:numCache>
            </c:numRef>
          </c:val>
          <c:smooth val="0"/>
        </c:ser>
        <c:dLbls>
          <c:showLegendKey val="0"/>
          <c:showVal val="0"/>
          <c:showCatName val="0"/>
          <c:showSerName val="0"/>
          <c:showPercent val="0"/>
          <c:showBubbleSize val="0"/>
        </c:dLbls>
        <c:marker val="1"/>
        <c:smooth val="0"/>
        <c:axId val="441434192"/>
        <c:axId val="441434752"/>
      </c:lineChart>
      <c:lineChart>
        <c:grouping val="standard"/>
        <c:varyColors val="0"/>
        <c:ser>
          <c:idx val="2"/>
          <c:order val="2"/>
          <c:tx>
            <c:strRef>
              <c:f>'Raw data 2DS'!$B$101</c:f>
              <c:strCache>
                <c:ptCount val="1"/>
                <c:pt idx="0">
                  <c:v>OEM Scope 2 intensity (kgCO2/car)</c:v>
                </c:pt>
              </c:strCache>
            </c:strRef>
          </c:tx>
          <c:spPr>
            <a:ln w="28575" cap="rnd">
              <a:solidFill>
                <a:schemeClr val="accent1"/>
              </a:solidFill>
              <a:round/>
            </a:ln>
            <a:effectLst/>
          </c:spPr>
          <c:marker>
            <c:symbol val="none"/>
          </c:marker>
          <c:val>
            <c:numRef>
              <c:f>'Raw data 2DS'!$F$101:$AT$101</c:f>
              <c:numCache>
                <c:formatCode>General</c:formatCode>
                <c:ptCount val="41"/>
                <c:pt idx="2" formatCode="#,##0.00">
                  <c:v>482.8115183765791</c:v>
                </c:pt>
                <c:pt idx="3" formatCode="#,##0.00">
                  <c:v>501.04559327886631</c:v>
                </c:pt>
                <c:pt idx="4" formatCode="#,##0.00">
                  <c:v>517.64065435965358</c:v>
                </c:pt>
                <c:pt idx="5" formatCode="#,##0.00">
                  <c:v>532.80818676121714</c:v>
                </c:pt>
                <c:pt idx="6" formatCode="#,##0.00">
                  <c:v>520.95741662079877</c:v>
                </c:pt>
                <c:pt idx="7" formatCode="#,##0.00">
                  <c:v>509.0324798933392</c:v>
                </c:pt>
                <c:pt idx="8" formatCode="#,##0.00">
                  <c:v>497.03267814963067</c:v>
                </c:pt>
                <c:pt idx="9" formatCode="#,##0.00">
                  <c:v>484.95730416334231</c:v>
                </c:pt>
                <c:pt idx="10" formatCode="#,##0.00">
                  <c:v>472.8056417720781</c:v>
                </c:pt>
                <c:pt idx="11" formatCode="#,##0.00">
                  <c:v>450.02696917418547</c:v>
                </c:pt>
                <c:pt idx="12" formatCode="#,##0.00">
                  <c:v>428.13324681780529</c:v>
                </c:pt>
                <c:pt idx="13" formatCode="#,##0.00">
                  <c:v>407.07388696243669</c:v>
                </c:pt>
                <c:pt idx="14" formatCode="#,##0.00">
                  <c:v>386.80208553447312</c:v>
                </c:pt>
                <c:pt idx="15" formatCode="#,##0.00">
                  <c:v>367.27447487513666</c:v>
                </c:pt>
                <c:pt idx="16" formatCode="#,##0.00">
                  <c:v>331.68432307200931</c:v>
                </c:pt>
                <c:pt idx="17" formatCode="#,##0.00">
                  <c:v>298.90579063637983</c:v>
                </c:pt>
                <c:pt idx="18" formatCode="#,##0.00">
                  <c:v>268.61836136256085</c:v>
                </c:pt>
                <c:pt idx="19" formatCode="#,##0.00">
                  <c:v>240.5484527952641</c:v>
                </c:pt>
                <c:pt idx="20" formatCode="#,##0.00">
                  <c:v>214.46112887334994</c:v>
                </c:pt>
                <c:pt idx="21" formatCode="#,##0.00">
                  <c:v>200.26152250873511</c:v>
                </c:pt>
                <c:pt idx="22" formatCode="#,##0.00">
                  <c:v>185.95658866998173</c:v>
                </c:pt>
                <c:pt idx="23" formatCode="#,##0.00">
                  <c:v>171.54515107358804</c:v>
                </c:pt>
                <c:pt idx="24" formatCode="#,##0.00">
                  <c:v>157.02601585516425</c:v>
                </c:pt>
                <c:pt idx="25" formatCode="#,##0.00">
                  <c:v>142.39797123974256</c:v>
                </c:pt>
                <c:pt idx="26" formatCode="#,##0.00">
                  <c:v>132.57438782309436</c:v>
                </c:pt>
                <c:pt idx="27" formatCode="#,##0.00">
                  <c:v>122.92706451033379</c:v>
                </c:pt>
                <c:pt idx="28" formatCode="#,##0.00">
                  <c:v>113.45129964856483</c:v>
                </c:pt>
                <c:pt idx="29" formatCode="#,##0.00">
                  <c:v>104.14255733025067</c:v>
                </c:pt>
                <c:pt idx="30" formatCode="#,##0.00">
                  <c:v>94.996460153331924</c:v>
                </c:pt>
                <c:pt idx="31" formatCode="#,##0.00">
                  <c:v>84.844169268975961</c:v>
                </c:pt>
                <c:pt idx="32" formatCode="#,##0.00">
                  <c:v>75.385074540562741</c:v>
                </c:pt>
                <c:pt idx="33" formatCode="#,##0.00">
                  <c:v>66.550522859319784</c:v>
                </c:pt>
                <c:pt idx="34" formatCode="#,##0.00">
                  <c:v>58.280637130113817</c:v>
                </c:pt>
                <c:pt idx="35" formatCode="#,##0.00">
                  <c:v>50.522957387280591</c:v>
                </c:pt>
                <c:pt idx="36" formatCode="#,##0.00">
                  <c:v>47.693591341686847</c:v>
                </c:pt>
                <c:pt idx="37" formatCode="#,##0.00">
                  <c:v>44.837203929350231</c:v>
                </c:pt>
                <c:pt idx="38" formatCode="#,##0.00">
                  <c:v>41.953406198691155</c:v>
                </c:pt>
                <c:pt idx="39" formatCode="#,##0.00">
                  <c:v>39.041801697265981</c:v>
                </c:pt>
                <c:pt idx="40" formatCode="#,##0.00">
                  <c:v>36.101986290074898</c:v>
                </c:pt>
              </c:numCache>
            </c:numRef>
          </c:val>
          <c:smooth val="0"/>
        </c:ser>
        <c:ser>
          <c:idx val="3"/>
          <c:order val="3"/>
          <c:tx>
            <c:strRef>
              <c:f>'Raw data 2DS'!$B$102</c:f>
              <c:strCache>
                <c:ptCount val="1"/>
                <c:pt idx="0">
                  <c:v>OEM Scope 1 intensity (kgCO2/car)</c:v>
                </c:pt>
              </c:strCache>
            </c:strRef>
          </c:tx>
          <c:spPr>
            <a:ln w="28575" cap="rnd">
              <a:solidFill>
                <a:schemeClr val="accent2"/>
              </a:solidFill>
              <a:round/>
            </a:ln>
            <a:effectLst/>
          </c:spPr>
          <c:marker>
            <c:symbol val="none"/>
          </c:marker>
          <c:val>
            <c:numRef>
              <c:f>'Raw data 2DS'!$F$102:$AT$102</c:f>
              <c:numCache>
                <c:formatCode>General</c:formatCode>
                <c:ptCount val="41"/>
                <c:pt idx="2" formatCode="#,##0.00">
                  <c:v>273.59786022874698</c:v>
                </c:pt>
                <c:pt idx="3" formatCode="#,##0.00">
                  <c:v>261.90678201198671</c:v>
                </c:pt>
                <c:pt idx="4" formatCode="#,##0.00">
                  <c:v>251.26658457136608</c:v>
                </c:pt>
                <c:pt idx="5" formatCode="#,##0.00">
                  <c:v>241.54167071573167</c:v>
                </c:pt>
                <c:pt idx="6" formatCode="#,##0.00">
                  <c:v>238.74567038013433</c:v>
                </c:pt>
                <c:pt idx="7" formatCode="#,##0.00">
                  <c:v>235.93217162040082</c:v>
                </c:pt>
                <c:pt idx="8" formatCode="#,##0.00">
                  <c:v>233.10100965329116</c:v>
                </c:pt>
                <c:pt idx="9" formatCode="#,##0.00">
                  <c:v>230.25201762002453</c:v>
                </c:pt>
                <c:pt idx="10" formatCode="#,##0.00">
                  <c:v>227.38502655349791</c:v>
                </c:pt>
                <c:pt idx="11" formatCode="#,##0.00">
                  <c:v>219.35746139576992</c:v>
                </c:pt>
                <c:pt idx="12" formatCode="#,##0.00">
                  <c:v>211.64176672542695</c:v>
                </c:pt>
                <c:pt idx="13" formatCode="#,##0.00">
                  <c:v>204.22011462114006</c:v>
                </c:pt>
                <c:pt idx="14" formatCode="#,##0.00">
                  <c:v>197.0760105857471</c:v>
                </c:pt>
                <c:pt idx="15" formatCode="#,##0.00">
                  <c:v>190.19417116912237</c:v>
                </c:pt>
                <c:pt idx="16" formatCode="#,##0.00">
                  <c:v>180.03553016034269</c:v>
                </c:pt>
                <c:pt idx="17" formatCode="#,##0.00">
                  <c:v>170.67942104200671</c:v>
                </c:pt>
                <c:pt idx="18" formatCode="#,##0.00">
                  <c:v>162.03435757687993</c:v>
                </c:pt>
                <c:pt idx="19" formatCode="#,##0.00">
                  <c:v>154.02225001797427</c:v>
                </c:pt>
                <c:pt idx="20" formatCode="#,##0.00">
                  <c:v>146.57603961492703</c:v>
                </c:pt>
                <c:pt idx="21" formatCode="#,##0.00">
                  <c:v>145.20268485826625</c:v>
                </c:pt>
                <c:pt idx="22" formatCode="#,##0.00">
                  <c:v>143.81914305952137</c:v>
                </c:pt>
                <c:pt idx="23" formatCode="#,##0.00">
                  <c:v>142.42530045113412</c:v>
                </c:pt>
                <c:pt idx="24" formatCode="#,##0.00">
                  <c:v>141.02104156516157</c:v>
                </c:pt>
                <c:pt idx="25" formatCode="#,##0.00">
                  <c:v>139.60624920138889</c:v>
                </c:pt>
                <c:pt idx="26" formatCode="#,##0.00">
                  <c:v>136.76301854566168</c:v>
                </c:pt>
                <c:pt idx="27" formatCode="#,##0.00">
                  <c:v>133.97080268865906</c:v>
                </c:pt>
                <c:pt idx="28" formatCode="#,##0.00">
                  <c:v>131.22824083533519</c:v>
                </c:pt>
                <c:pt idx="29" formatCode="#,##0.00">
                  <c:v>128.53402016217004</c:v>
                </c:pt>
                <c:pt idx="30" formatCode="#,##0.00">
                  <c:v>125.88687372173715</c:v>
                </c:pt>
                <c:pt idx="31" formatCode="#,##0.00">
                  <c:v>120.58448282157582</c:v>
                </c:pt>
                <c:pt idx="32" formatCode="#,##0.00">
                  <c:v>115.64413798876677</c:v>
                </c:pt>
                <c:pt idx="33" formatCode="#,##0.00">
                  <c:v>111.02998272319888</c:v>
                </c:pt>
                <c:pt idx="34" formatCode="#,##0.00">
                  <c:v>106.71074410647581</c:v>
                </c:pt>
                <c:pt idx="35" formatCode="#,##0.00">
                  <c:v>102.65902307687549</c:v>
                </c:pt>
                <c:pt idx="36" formatCode="#,##0.00">
                  <c:v>101.90540187385761</c:v>
                </c:pt>
                <c:pt idx="37" formatCode="#,##0.00">
                  <c:v>101.14458334303424</c:v>
                </c:pt>
                <c:pt idx="38" formatCode="#,##0.00">
                  <c:v>100.37646388446366</c:v>
                </c:pt>
                <c:pt idx="39" formatCode="#,##0.00">
                  <c:v>99.600937900297197</c:v>
                </c:pt>
                <c:pt idx="40" formatCode="#,##0.00">
                  <c:v>98.817897746384247</c:v>
                </c:pt>
              </c:numCache>
            </c:numRef>
          </c:val>
          <c:smooth val="0"/>
        </c:ser>
        <c:dLbls>
          <c:showLegendKey val="0"/>
          <c:showVal val="0"/>
          <c:showCatName val="0"/>
          <c:showSerName val="0"/>
          <c:showPercent val="0"/>
          <c:showBubbleSize val="0"/>
        </c:dLbls>
        <c:marker val="1"/>
        <c:smooth val="0"/>
        <c:axId val="441435872"/>
        <c:axId val="441435312"/>
        <c:extLst>
          <c:ext xmlns:c15="http://schemas.microsoft.com/office/drawing/2012/chart" uri="{02D57815-91ED-43cb-92C2-25804820EDAC}">
            <c15:filteredLineSeries>
              <c15:ser>
                <c:idx val="4"/>
                <c:order val="4"/>
                <c:tx>
                  <c:strRef>
                    <c:extLst>
                      <c:ext uri="{02D57815-91ED-43cb-92C2-25804820EDAC}">
                        <c15:formulaRef>
                          <c15:sqref>'Raw data 2DS'!$B$101</c15:sqref>
                        </c15:formulaRef>
                      </c:ext>
                    </c:extLst>
                    <c:strCache>
                      <c:ptCount val="1"/>
                      <c:pt idx="0">
                        <c:v>OEM Scope 2 intensity (kgCO2/car)</c:v>
                      </c:pt>
                    </c:strCache>
                  </c:strRef>
                </c:tx>
                <c:spPr>
                  <a:ln w="28575" cap="rnd">
                    <a:solidFill>
                      <a:schemeClr val="accent5"/>
                    </a:solidFill>
                    <a:round/>
                  </a:ln>
                  <a:effectLst/>
                </c:spPr>
                <c:marker>
                  <c:symbol val="none"/>
                </c:marker>
                <c:val>
                  <c:numRef>
                    <c:extLst>
                      <c:ext uri="{02D57815-91ED-43cb-92C2-25804820EDAC}">
                        <c15:formulaRef>
                          <c15:sqref>'Raw data 2DS'!$F$101:$AT$101</c15:sqref>
                        </c15:formulaRef>
                      </c:ext>
                    </c:extLst>
                    <c:numCache>
                      <c:formatCode>General</c:formatCode>
                      <c:ptCount val="41"/>
                      <c:pt idx="2" formatCode="#,##0.00">
                        <c:v>482.8115183765791</c:v>
                      </c:pt>
                      <c:pt idx="3" formatCode="#,##0.00">
                        <c:v>501.04559327886631</c:v>
                      </c:pt>
                      <c:pt idx="4" formatCode="#,##0.00">
                        <c:v>517.64065435965358</c:v>
                      </c:pt>
                      <c:pt idx="5" formatCode="#,##0.00">
                        <c:v>532.80818676121714</c:v>
                      </c:pt>
                      <c:pt idx="6" formatCode="#,##0.00">
                        <c:v>520.95741662079877</c:v>
                      </c:pt>
                      <c:pt idx="7" formatCode="#,##0.00">
                        <c:v>509.0324798933392</c:v>
                      </c:pt>
                      <c:pt idx="8" formatCode="#,##0.00">
                        <c:v>497.03267814963067</c:v>
                      </c:pt>
                      <c:pt idx="9" formatCode="#,##0.00">
                        <c:v>484.95730416334231</c:v>
                      </c:pt>
                      <c:pt idx="10" formatCode="#,##0.00">
                        <c:v>472.8056417720781</c:v>
                      </c:pt>
                      <c:pt idx="11" formatCode="#,##0.00">
                        <c:v>450.02696917418547</c:v>
                      </c:pt>
                      <c:pt idx="12" formatCode="#,##0.00">
                        <c:v>428.13324681780529</c:v>
                      </c:pt>
                      <c:pt idx="13" formatCode="#,##0.00">
                        <c:v>407.07388696243669</c:v>
                      </c:pt>
                      <c:pt idx="14" formatCode="#,##0.00">
                        <c:v>386.80208553447312</c:v>
                      </c:pt>
                      <c:pt idx="15" formatCode="#,##0.00">
                        <c:v>367.27447487513666</c:v>
                      </c:pt>
                      <c:pt idx="16" formatCode="#,##0.00">
                        <c:v>331.68432307200931</c:v>
                      </c:pt>
                      <c:pt idx="17" formatCode="#,##0.00">
                        <c:v>298.90579063637983</c:v>
                      </c:pt>
                      <c:pt idx="18" formatCode="#,##0.00">
                        <c:v>268.61836136256085</c:v>
                      </c:pt>
                      <c:pt idx="19" formatCode="#,##0.00">
                        <c:v>240.5484527952641</c:v>
                      </c:pt>
                      <c:pt idx="20" formatCode="#,##0.00">
                        <c:v>214.46112887334994</c:v>
                      </c:pt>
                      <c:pt idx="21" formatCode="#,##0.00">
                        <c:v>200.26152250873511</c:v>
                      </c:pt>
                      <c:pt idx="22" formatCode="#,##0.00">
                        <c:v>185.95658866998173</c:v>
                      </c:pt>
                      <c:pt idx="23" formatCode="#,##0.00">
                        <c:v>171.54515107358804</c:v>
                      </c:pt>
                      <c:pt idx="24" formatCode="#,##0.00">
                        <c:v>157.02601585516425</c:v>
                      </c:pt>
                      <c:pt idx="25" formatCode="#,##0.00">
                        <c:v>142.39797123974256</c:v>
                      </c:pt>
                      <c:pt idx="26" formatCode="#,##0.00">
                        <c:v>132.57438782309436</c:v>
                      </c:pt>
                      <c:pt idx="27" formatCode="#,##0.00">
                        <c:v>122.92706451033379</c:v>
                      </c:pt>
                      <c:pt idx="28" formatCode="#,##0.00">
                        <c:v>113.45129964856483</c:v>
                      </c:pt>
                      <c:pt idx="29" formatCode="#,##0.00">
                        <c:v>104.14255733025067</c:v>
                      </c:pt>
                      <c:pt idx="30" formatCode="#,##0.00">
                        <c:v>94.996460153331924</c:v>
                      </c:pt>
                      <c:pt idx="31" formatCode="#,##0.00">
                        <c:v>84.844169268975961</c:v>
                      </c:pt>
                      <c:pt idx="32" formatCode="#,##0.00">
                        <c:v>75.385074540562741</c:v>
                      </c:pt>
                      <c:pt idx="33" formatCode="#,##0.00">
                        <c:v>66.550522859319784</c:v>
                      </c:pt>
                      <c:pt idx="34" formatCode="#,##0.00">
                        <c:v>58.280637130113817</c:v>
                      </c:pt>
                      <c:pt idx="35" formatCode="#,##0.00">
                        <c:v>50.522957387280591</c:v>
                      </c:pt>
                      <c:pt idx="36" formatCode="#,##0.00">
                        <c:v>47.693591341686847</c:v>
                      </c:pt>
                      <c:pt idx="37" formatCode="#,##0.00">
                        <c:v>44.837203929350231</c:v>
                      </c:pt>
                      <c:pt idx="38" formatCode="#,##0.00">
                        <c:v>41.953406198691155</c:v>
                      </c:pt>
                      <c:pt idx="39" formatCode="#,##0.00">
                        <c:v>39.041801697265981</c:v>
                      </c:pt>
                      <c:pt idx="40" formatCode="#,##0.00">
                        <c:v>36.101986290074898</c:v>
                      </c:pt>
                    </c:numCache>
                  </c:numRef>
                </c:val>
                <c:smooth val="0"/>
              </c15:ser>
            </c15:filteredLineSeries>
            <c15:filteredLineSeries>
              <c15:ser>
                <c:idx val="5"/>
                <c:order val="5"/>
                <c:tx>
                  <c:strRef>
                    <c:extLst xmlns:c15="http://schemas.microsoft.com/office/drawing/2012/chart">
                      <c:ext xmlns:c15="http://schemas.microsoft.com/office/drawing/2012/chart" uri="{02D57815-91ED-43cb-92C2-25804820EDAC}">
                        <c15:formulaRef>
                          <c15:sqref>'Raw data 2DS'!$B$102</c15:sqref>
                        </c15:formulaRef>
                      </c:ext>
                    </c:extLst>
                    <c:strCache>
                      <c:ptCount val="1"/>
                      <c:pt idx="0">
                        <c:v>OEM Scope 1 intensity (kgCO2/car)</c:v>
                      </c:pt>
                    </c:strCache>
                  </c:strRef>
                </c:tx>
                <c:spPr>
                  <a:ln w="28575" cap="rnd">
                    <a:solidFill>
                      <a:schemeClr val="accent6"/>
                    </a:solidFill>
                    <a:round/>
                  </a:ln>
                  <a:effectLst/>
                </c:spPr>
                <c:marker>
                  <c:symbol val="none"/>
                </c:marker>
                <c:val>
                  <c:numRef>
                    <c:extLst xmlns:c15="http://schemas.microsoft.com/office/drawing/2012/chart">
                      <c:ext xmlns:c15="http://schemas.microsoft.com/office/drawing/2012/chart" uri="{02D57815-91ED-43cb-92C2-25804820EDAC}">
                        <c15:formulaRef>
                          <c15:sqref>'Raw data 2DS'!$F$102:$AT$102</c15:sqref>
                        </c15:formulaRef>
                      </c:ext>
                    </c:extLst>
                    <c:numCache>
                      <c:formatCode>General</c:formatCode>
                      <c:ptCount val="41"/>
                      <c:pt idx="2" formatCode="#,##0.00">
                        <c:v>273.59786022874698</c:v>
                      </c:pt>
                      <c:pt idx="3" formatCode="#,##0.00">
                        <c:v>261.90678201198671</c:v>
                      </c:pt>
                      <c:pt idx="4" formatCode="#,##0.00">
                        <c:v>251.26658457136608</c:v>
                      </c:pt>
                      <c:pt idx="5" formatCode="#,##0.00">
                        <c:v>241.54167071573167</c:v>
                      </c:pt>
                      <c:pt idx="6" formatCode="#,##0.00">
                        <c:v>238.74567038013433</c:v>
                      </c:pt>
                      <c:pt idx="7" formatCode="#,##0.00">
                        <c:v>235.93217162040082</c:v>
                      </c:pt>
                      <c:pt idx="8" formatCode="#,##0.00">
                        <c:v>233.10100965329116</c:v>
                      </c:pt>
                      <c:pt idx="9" formatCode="#,##0.00">
                        <c:v>230.25201762002453</c:v>
                      </c:pt>
                      <c:pt idx="10" formatCode="#,##0.00">
                        <c:v>227.38502655349791</c:v>
                      </c:pt>
                      <c:pt idx="11" formatCode="#,##0.00">
                        <c:v>219.35746139576992</c:v>
                      </c:pt>
                      <c:pt idx="12" formatCode="#,##0.00">
                        <c:v>211.64176672542695</c:v>
                      </c:pt>
                      <c:pt idx="13" formatCode="#,##0.00">
                        <c:v>204.22011462114006</c:v>
                      </c:pt>
                      <c:pt idx="14" formatCode="#,##0.00">
                        <c:v>197.0760105857471</c:v>
                      </c:pt>
                      <c:pt idx="15" formatCode="#,##0.00">
                        <c:v>190.19417116912237</c:v>
                      </c:pt>
                      <c:pt idx="16" formatCode="#,##0.00">
                        <c:v>180.03553016034269</c:v>
                      </c:pt>
                      <c:pt idx="17" formatCode="#,##0.00">
                        <c:v>170.67942104200671</c:v>
                      </c:pt>
                      <c:pt idx="18" formatCode="#,##0.00">
                        <c:v>162.03435757687993</c:v>
                      </c:pt>
                      <c:pt idx="19" formatCode="#,##0.00">
                        <c:v>154.02225001797427</c:v>
                      </c:pt>
                      <c:pt idx="20" formatCode="#,##0.00">
                        <c:v>146.57603961492703</c:v>
                      </c:pt>
                      <c:pt idx="21" formatCode="#,##0.00">
                        <c:v>145.20268485826625</c:v>
                      </c:pt>
                      <c:pt idx="22" formatCode="#,##0.00">
                        <c:v>143.81914305952137</c:v>
                      </c:pt>
                      <c:pt idx="23" formatCode="#,##0.00">
                        <c:v>142.42530045113412</c:v>
                      </c:pt>
                      <c:pt idx="24" formatCode="#,##0.00">
                        <c:v>141.02104156516157</c:v>
                      </c:pt>
                      <c:pt idx="25" formatCode="#,##0.00">
                        <c:v>139.60624920138889</c:v>
                      </c:pt>
                      <c:pt idx="26" formatCode="#,##0.00">
                        <c:v>136.76301854566168</c:v>
                      </c:pt>
                      <c:pt idx="27" formatCode="#,##0.00">
                        <c:v>133.97080268865906</c:v>
                      </c:pt>
                      <c:pt idx="28" formatCode="#,##0.00">
                        <c:v>131.22824083533519</c:v>
                      </c:pt>
                      <c:pt idx="29" formatCode="#,##0.00">
                        <c:v>128.53402016217004</c:v>
                      </c:pt>
                      <c:pt idx="30" formatCode="#,##0.00">
                        <c:v>125.88687372173715</c:v>
                      </c:pt>
                      <c:pt idx="31" formatCode="#,##0.00">
                        <c:v>120.58448282157582</c:v>
                      </c:pt>
                      <c:pt idx="32" formatCode="#,##0.00">
                        <c:v>115.64413798876677</c:v>
                      </c:pt>
                      <c:pt idx="33" formatCode="#,##0.00">
                        <c:v>111.02998272319888</c:v>
                      </c:pt>
                      <c:pt idx="34" formatCode="#,##0.00">
                        <c:v>106.71074410647581</c:v>
                      </c:pt>
                      <c:pt idx="35" formatCode="#,##0.00">
                        <c:v>102.65902307687549</c:v>
                      </c:pt>
                      <c:pt idx="36" formatCode="#,##0.00">
                        <c:v>101.90540187385761</c:v>
                      </c:pt>
                      <c:pt idx="37" formatCode="#,##0.00">
                        <c:v>101.14458334303424</c:v>
                      </c:pt>
                      <c:pt idx="38" formatCode="#,##0.00">
                        <c:v>100.37646388446366</c:v>
                      </c:pt>
                      <c:pt idx="39" formatCode="#,##0.00">
                        <c:v>99.600937900297197</c:v>
                      </c:pt>
                      <c:pt idx="40" formatCode="#,##0.00">
                        <c:v>98.817897746384247</c:v>
                      </c:pt>
                    </c:numCache>
                  </c:numRef>
                </c:val>
                <c:smooth val="0"/>
              </c15:ser>
            </c15:filteredLineSeries>
          </c:ext>
        </c:extLst>
      </c:lineChart>
      <c:catAx>
        <c:axId val="44143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34752"/>
        <c:crosses val="autoZero"/>
        <c:auto val="1"/>
        <c:lblAlgn val="ctr"/>
        <c:lblOffset val="100"/>
        <c:noMultiLvlLbl val="0"/>
      </c:catAx>
      <c:valAx>
        <c:axId val="44143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34192"/>
        <c:crosses val="autoZero"/>
        <c:crossBetween val="between"/>
      </c:valAx>
      <c:valAx>
        <c:axId val="4414353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35872"/>
        <c:crosses val="max"/>
        <c:crossBetween val="between"/>
      </c:valAx>
      <c:catAx>
        <c:axId val="441435872"/>
        <c:scaling>
          <c:orientation val="minMax"/>
        </c:scaling>
        <c:delete val="1"/>
        <c:axPos val="b"/>
        <c:majorTickMark val="out"/>
        <c:minorTickMark val="none"/>
        <c:tickLblPos val="nextTo"/>
        <c:crossAx val="441435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Carbon intensity pathways for the OEM and Power sectors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'Raw data 2DS'!$B$103</c:f>
              <c:strCache>
                <c:ptCount val="1"/>
                <c:pt idx="0">
                  <c:v>OEM Scope 1 + 2 intensity (kgCO2/car)</c:v>
                </c:pt>
              </c:strCache>
            </c:strRef>
          </c:tx>
          <c:spPr>
            <a:ln w="28575" cap="rnd">
              <a:solidFill>
                <a:srgbClr val="7030A0"/>
              </a:solidFill>
              <a:round/>
            </a:ln>
            <a:effectLst/>
          </c:spPr>
          <c:marker>
            <c:symbol val="none"/>
          </c:marker>
          <c:cat>
            <c:numRef>
              <c:f>'Raw data 2DS'!$F$89:$AT$89</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'Raw data 2DS'!$F$103:$AT$103</c:f>
              <c:numCache>
                <c:formatCode>General</c:formatCode>
                <c:ptCount val="41"/>
                <c:pt idx="2" formatCode="#,##0.00">
                  <c:v>756.40937860532608</c:v>
                </c:pt>
                <c:pt idx="3" formatCode="#,##0.00">
                  <c:v>762.95237529085307</c:v>
                </c:pt>
                <c:pt idx="4" formatCode="#,##0.00">
                  <c:v>768.90723893101972</c:v>
                </c:pt>
                <c:pt idx="5" formatCode="#,##0.00">
                  <c:v>774.34985747694884</c:v>
                </c:pt>
                <c:pt idx="6" formatCode="#,##0.00">
                  <c:v>759.70308700093312</c:v>
                </c:pt>
                <c:pt idx="7" formatCode="#,##0.00">
                  <c:v>744.96465151374002</c:v>
                </c:pt>
                <c:pt idx="8" formatCode="#,##0.00">
                  <c:v>730.13368780292183</c:v>
                </c:pt>
                <c:pt idx="9" formatCode="#,##0.00">
                  <c:v>715.20932178336682</c:v>
                </c:pt>
                <c:pt idx="10" formatCode="#,##0.00">
                  <c:v>700.19066832557598</c:v>
                </c:pt>
                <c:pt idx="11" formatCode="#,##0.00">
                  <c:v>669.38443056995538</c:v>
                </c:pt>
                <c:pt idx="12" formatCode="#,##0.00">
                  <c:v>639.77501354323226</c:v>
                </c:pt>
                <c:pt idx="13" formatCode="#,##0.00">
                  <c:v>611.2940015835768</c:v>
                </c:pt>
                <c:pt idx="14" formatCode="#,##0.00">
                  <c:v>583.87809612022022</c:v>
                </c:pt>
                <c:pt idx="15" formatCode="#,##0.00">
                  <c:v>557.468646044259</c:v>
                </c:pt>
                <c:pt idx="16" formatCode="#,##0.00">
                  <c:v>511.71985323235197</c:v>
                </c:pt>
                <c:pt idx="17" formatCode="#,##0.00">
                  <c:v>469.58521167838654</c:v>
                </c:pt>
                <c:pt idx="18" formatCode="#,##0.00">
                  <c:v>430.65271893944077</c:v>
                </c:pt>
                <c:pt idx="19" formatCode="#,##0.00">
                  <c:v>394.57070281323837</c:v>
                </c:pt>
                <c:pt idx="20" formatCode="#,##0.00">
                  <c:v>361.03716848827696</c:v>
                </c:pt>
                <c:pt idx="21" formatCode="#,##0.00">
                  <c:v>345.46420736700134</c:v>
                </c:pt>
                <c:pt idx="22" formatCode="#,##0.00">
                  <c:v>329.77573172950309</c:v>
                </c:pt>
                <c:pt idx="23" formatCode="#,##0.00">
                  <c:v>313.97045152472219</c:v>
                </c:pt>
                <c:pt idx="24" formatCode="#,##0.00">
                  <c:v>298.04705742032581</c:v>
                </c:pt>
                <c:pt idx="25" formatCode="#,##0.00">
                  <c:v>282.00422044113145</c:v>
                </c:pt>
                <c:pt idx="26" formatCode="#,##0.00">
                  <c:v>269.33740636875604</c:v>
                </c:pt>
                <c:pt idx="27" formatCode="#,##0.00">
                  <c:v>256.89786719899286</c:v>
                </c:pt>
                <c:pt idx="28" formatCode="#,##0.00">
                  <c:v>244.67954048390001</c:v>
                </c:pt>
                <c:pt idx="29" formatCode="#,##0.00">
                  <c:v>232.67657749242071</c:v>
                </c:pt>
                <c:pt idx="30" formatCode="#,##0.00">
                  <c:v>220.88333387506907</c:v>
                </c:pt>
                <c:pt idx="31" formatCode="#,##0.00">
                  <c:v>205.42865209055179</c:v>
                </c:pt>
                <c:pt idx="32" formatCode="#,##0.00">
                  <c:v>191.02921252932953</c:v>
                </c:pt>
                <c:pt idx="33" formatCode="#,##0.00">
                  <c:v>177.58050558251867</c:v>
                </c:pt>
                <c:pt idx="34" formatCode="#,##0.00">
                  <c:v>164.99138123658963</c:v>
                </c:pt>
                <c:pt idx="35" formatCode="#,##0.00">
                  <c:v>153.18198046415608</c:v>
                </c:pt>
                <c:pt idx="36" formatCode="#,##0.00">
                  <c:v>149.59899321554445</c:v>
                </c:pt>
                <c:pt idx="37" formatCode="#,##0.00">
                  <c:v>145.98178727238448</c:v>
                </c:pt>
                <c:pt idx="38" formatCode="#,##0.00">
                  <c:v>142.32987008315482</c:v>
                </c:pt>
                <c:pt idx="39" formatCode="#,##0.00">
                  <c:v>138.64273959756318</c:v>
                </c:pt>
                <c:pt idx="40" formatCode="#,##0.00">
                  <c:v>134.91988403645914</c:v>
                </c:pt>
              </c:numCache>
            </c:numRef>
          </c:val>
          <c:smooth val="0"/>
        </c:ser>
        <c:ser>
          <c:idx val="2"/>
          <c:order val="1"/>
          <c:tx>
            <c:strRef>
              <c:f>'Raw data 2DS'!$B$101</c:f>
              <c:strCache>
                <c:ptCount val="1"/>
                <c:pt idx="0">
                  <c:v>OEM Scope 2 intensity (kgCO2/car)</c:v>
                </c:pt>
              </c:strCache>
            </c:strRef>
          </c:tx>
          <c:spPr>
            <a:ln w="28575" cap="rnd">
              <a:solidFill>
                <a:schemeClr val="accent1"/>
              </a:solidFill>
              <a:round/>
            </a:ln>
            <a:effectLst/>
          </c:spPr>
          <c:marker>
            <c:symbol val="none"/>
          </c:marker>
          <c:val>
            <c:numRef>
              <c:f>'Raw data 2DS'!$F$101:$AT$101</c:f>
              <c:numCache>
                <c:formatCode>General</c:formatCode>
                <c:ptCount val="41"/>
                <c:pt idx="2" formatCode="#,##0.00">
                  <c:v>482.8115183765791</c:v>
                </c:pt>
                <c:pt idx="3" formatCode="#,##0.00">
                  <c:v>501.04559327886631</c:v>
                </c:pt>
                <c:pt idx="4" formatCode="#,##0.00">
                  <c:v>517.64065435965358</c:v>
                </c:pt>
                <c:pt idx="5" formatCode="#,##0.00">
                  <c:v>532.80818676121714</c:v>
                </c:pt>
                <c:pt idx="6" formatCode="#,##0.00">
                  <c:v>520.95741662079877</c:v>
                </c:pt>
                <c:pt idx="7" formatCode="#,##0.00">
                  <c:v>509.0324798933392</c:v>
                </c:pt>
                <c:pt idx="8" formatCode="#,##0.00">
                  <c:v>497.03267814963067</c:v>
                </c:pt>
                <c:pt idx="9" formatCode="#,##0.00">
                  <c:v>484.95730416334231</c:v>
                </c:pt>
                <c:pt idx="10" formatCode="#,##0.00">
                  <c:v>472.8056417720781</c:v>
                </c:pt>
                <c:pt idx="11" formatCode="#,##0.00">
                  <c:v>450.02696917418547</c:v>
                </c:pt>
                <c:pt idx="12" formatCode="#,##0.00">
                  <c:v>428.13324681780529</c:v>
                </c:pt>
                <c:pt idx="13" formatCode="#,##0.00">
                  <c:v>407.07388696243669</c:v>
                </c:pt>
                <c:pt idx="14" formatCode="#,##0.00">
                  <c:v>386.80208553447312</c:v>
                </c:pt>
                <c:pt idx="15" formatCode="#,##0.00">
                  <c:v>367.27447487513666</c:v>
                </c:pt>
                <c:pt idx="16" formatCode="#,##0.00">
                  <c:v>331.68432307200931</c:v>
                </c:pt>
                <c:pt idx="17" formatCode="#,##0.00">
                  <c:v>298.90579063637983</c:v>
                </c:pt>
                <c:pt idx="18" formatCode="#,##0.00">
                  <c:v>268.61836136256085</c:v>
                </c:pt>
                <c:pt idx="19" formatCode="#,##0.00">
                  <c:v>240.5484527952641</c:v>
                </c:pt>
                <c:pt idx="20" formatCode="#,##0.00">
                  <c:v>214.46112887334994</c:v>
                </c:pt>
                <c:pt idx="21" formatCode="#,##0.00">
                  <c:v>200.26152250873511</c:v>
                </c:pt>
                <c:pt idx="22" formatCode="#,##0.00">
                  <c:v>185.95658866998173</c:v>
                </c:pt>
                <c:pt idx="23" formatCode="#,##0.00">
                  <c:v>171.54515107358804</c:v>
                </c:pt>
                <c:pt idx="24" formatCode="#,##0.00">
                  <c:v>157.02601585516425</c:v>
                </c:pt>
                <c:pt idx="25" formatCode="#,##0.00">
                  <c:v>142.39797123974256</c:v>
                </c:pt>
                <c:pt idx="26" formatCode="#,##0.00">
                  <c:v>132.57438782309436</c:v>
                </c:pt>
                <c:pt idx="27" formatCode="#,##0.00">
                  <c:v>122.92706451033379</c:v>
                </c:pt>
                <c:pt idx="28" formatCode="#,##0.00">
                  <c:v>113.45129964856483</c:v>
                </c:pt>
                <c:pt idx="29" formatCode="#,##0.00">
                  <c:v>104.14255733025067</c:v>
                </c:pt>
                <c:pt idx="30" formatCode="#,##0.00">
                  <c:v>94.996460153331924</c:v>
                </c:pt>
                <c:pt idx="31" formatCode="#,##0.00">
                  <c:v>84.844169268975961</c:v>
                </c:pt>
                <c:pt idx="32" formatCode="#,##0.00">
                  <c:v>75.385074540562741</c:v>
                </c:pt>
                <c:pt idx="33" formatCode="#,##0.00">
                  <c:v>66.550522859319784</c:v>
                </c:pt>
                <c:pt idx="34" formatCode="#,##0.00">
                  <c:v>58.280637130113817</c:v>
                </c:pt>
                <c:pt idx="35" formatCode="#,##0.00">
                  <c:v>50.522957387280591</c:v>
                </c:pt>
                <c:pt idx="36" formatCode="#,##0.00">
                  <c:v>47.693591341686847</c:v>
                </c:pt>
                <c:pt idx="37" formatCode="#,##0.00">
                  <c:v>44.837203929350231</c:v>
                </c:pt>
                <c:pt idx="38" formatCode="#,##0.00">
                  <c:v>41.953406198691155</c:v>
                </c:pt>
                <c:pt idx="39" formatCode="#,##0.00">
                  <c:v>39.041801697265981</c:v>
                </c:pt>
                <c:pt idx="40" formatCode="#,##0.00">
                  <c:v>36.101986290074898</c:v>
                </c:pt>
              </c:numCache>
            </c:numRef>
          </c:val>
          <c:smooth val="0"/>
        </c:ser>
        <c:ser>
          <c:idx val="3"/>
          <c:order val="2"/>
          <c:tx>
            <c:strRef>
              <c:f>'Raw data 2DS'!$B$102</c:f>
              <c:strCache>
                <c:ptCount val="1"/>
                <c:pt idx="0">
                  <c:v>OEM Scope 1 intensity (kgCO2/car)</c:v>
                </c:pt>
              </c:strCache>
            </c:strRef>
          </c:tx>
          <c:spPr>
            <a:ln w="28575" cap="rnd">
              <a:solidFill>
                <a:schemeClr val="accent2"/>
              </a:solidFill>
              <a:round/>
            </a:ln>
            <a:effectLst/>
          </c:spPr>
          <c:marker>
            <c:symbol val="none"/>
          </c:marker>
          <c:val>
            <c:numRef>
              <c:f>'Raw data 2DS'!$F$102:$AT$102</c:f>
              <c:numCache>
                <c:formatCode>General</c:formatCode>
                <c:ptCount val="41"/>
                <c:pt idx="2" formatCode="#,##0.00">
                  <c:v>273.59786022874698</c:v>
                </c:pt>
                <c:pt idx="3" formatCode="#,##0.00">
                  <c:v>261.90678201198671</c:v>
                </c:pt>
                <c:pt idx="4" formatCode="#,##0.00">
                  <c:v>251.26658457136608</c:v>
                </c:pt>
                <c:pt idx="5" formatCode="#,##0.00">
                  <c:v>241.54167071573167</c:v>
                </c:pt>
                <c:pt idx="6" formatCode="#,##0.00">
                  <c:v>238.74567038013433</c:v>
                </c:pt>
                <c:pt idx="7" formatCode="#,##0.00">
                  <c:v>235.93217162040082</c:v>
                </c:pt>
                <c:pt idx="8" formatCode="#,##0.00">
                  <c:v>233.10100965329116</c:v>
                </c:pt>
                <c:pt idx="9" formatCode="#,##0.00">
                  <c:v>230.25201762002453</c:v>
                </c:pt>
                <c:pt idx="10" formatCode="#,##0.00">
                  <c:v>227.38502655349791</c:v>
                </c:pt>
                <c:pt idx="11" formatCode="#,##0.00">
                  <c:v>219.35746139576992</c:v>
                </c:pt>
                <c:pt idx="12" formatCode="#,##0.00">
                  <c:v>211.64176672542695</c:v>
                </c:pt>
                <c:pt idx="13" formatCode="#,##0.00">
                  <c:v>204.22011462114006</c:v>
                </c:pt>
                <c:pt idx="14" formatCode="#,##0.00">
                  <c:v>197.0760105857471</c:v>
                </c:pt>
                <c:pt idx="15" formatCode="#,##0.00">
                  <c:v>190.19417116912237</c:v>
                </c:pt>
                <c:pt idx="16" formatCode="#,##0.00">
                  <c:v>180.03553016034269</c:v>
                </c:pt>
                <c:pt idx="17" formatCode="#,##0.00">
                  <c:v>170.67942104200671</c:v>
                </c:pt>
                <c:pt idx="18" formatCode="#,##0.00">
                  <c:v>162.03435757687993</c:v>
                </c:pt>
                <c:pt idx="19" formatCode="#,##0.00">
                  <c:v>154.02225001797427</c:v>
                </c:pt>
                <c:pt idx="20" formatCode="#,##0.00">
                  <c:v>146.57603961492703</c:v>
                </c:pt>
                <c:pt idx="21" formatCode="#,##0.00">
                  <c:v>145.20268485826625</c:v>
                </c:pt>
                <c:pt idx="22" formatCode="#,##0.00">
                  <c:v>143.81914305952137</c:v>
                </c:pt>
                <c:pt idx="23" formatCode="#,##0.00">
                  <c:v>142.42530045113412</c:v>
                </c:pt>
                <c:pt idx="24" formatCode="#,##0.00">
                  <c:v>141.02104156516157</c:v>
                </c:pt>
                <c:pt idx="25" formatCode="#,##0.00">
                  <c:v>139.60624920138889</c:v>
                </c:pt>
                <c:pt idx="26" formatCode="#,##0.00">
                  <c:v>136.76301854566168</c:v>
                </c:pt>
                <c:pt idx="27" formatCode="#,##0.00">
                  <c:v>133.97080268865906</c:v>
                </c:pt>
                <c:pt idx="28" formatCode="#,##0.00">
                  <c:v>131.22824083533519</c:v>
                </c:pt>
                <c:pt idx="29" formatCode="#,##0.00">
                  <c:v>128.53402016217004</c:v>
                </c:pt>
                <c:pt idx="30" formatCode="#,##0.00">
                  <c:v>125.88687372173715</c:v>
                </c:pt>
                <c:pt idx="31" formatCode="#,##0.00">
                  <c:v>120.58448282157582</c:v>
                </c:pt>
                <c:pt idx="32" formatCode="#,##0.00">
                  <c:v>115.64413798876677</c:v>
                </c:pt>
                <c:pt idx="33" formatCode="#,##0.00">
                  <c:v>111.02998272319888</c:v>
                </c:pt>
                <c:pt idx="34" formatCode="#,##0.00">
                  <c:v>106.71074410647581</c:v>
                </c:pt>
                <c:pt idx="35" formatCode="#,##0.00">
                  <c:v>102.65902307687549</c:v>
                </c:pt>
                <c:pt idx="36" formatCode="#,##0.00">
                  <c:v>101.90540187385761</c:v>
                </c:pt>
                <c:pt idx="37" formatCode="#,##0.00">
                  <c:v>101.14458334303424</c:v>
                </c:pt>
                <c:pt idx="38" formatCode="#,##0.00">
                  <c:v>100.37646388446366</c:v>
                </c:pt>
                <c:pt idx="39" formatCode="#,##0.00">
                  <c:v>99.600937900297197</c:v>
                </c:pt>
                <c:pt idx="40" formatCode="#,##0.00">
                  <c:v>98.817897746384247</c:v>
                </c:pt>
              </c:numCache>
            </c:numRef>
          </c:val>
          <c:smooth val="0"/>
        </c:ser>
        <c:dLbls>
          <c:showLegendKey val="0"/>
          <c:showVal val="0"/>
          <c:showCatName val="0"/>
          <c:showSerName val="0"/>
          <c:showPercent val="0"/>
          <c:showBubbleSize val="0"/>
        </c:dLbls>
        <c:marker val="1"/>
        <c:smooth val="0"/>
        <c:axId val="622346768"/>
        <c:axId val="622347328"/>
      </c:lineChart>
      <c:lineChart>
        <c:grouping val="standard"/>
        <c:varyColors val="0"/>
        <c:ser>
          <c:idx val="1"/>
          <c:order val="3"/>
          <c:tx>
            <c:strRef>
              <c:f>'Raw data 2DS'!$B$92</c:f>
              <c:strCache>
                <c:ptCount val="1"/>
                <c:pt idx="0">
                  <c:v>Power sector intensity (tCO2/MWh)</c:v>
                </c:pt>
              </c:strCache>
            </c:strRef>
          </c:tx>
          <c:spPr>
            <a:ln w="28575" cap="rnd">
              <a:solidFill>
                <a:schemeClr val="accent4"/>
              </a:solidFill>
              <a:round/>
            </a:ln>
            <a:effectLst/>
          </c:spPr>
          <c:marker>
            <c:symbol val="none"/>
          </c:marker>
          <c:val>
            <c:numRef>
              <c:f>'Raw data 2DS'!$F$92:$AT$92</c:f>
              <c:numCache>
                <c:formatCode>General</c:formatCode>
                <c:ptCount val="41"/>
                <c:pt idx="4" formatCode="#,##0.00">
                  <c:v>0.57202495010378573</c:v>
                </c:pt>
                <c:pt idx="5" formatCode="#,##0.00">
                  <c:v>0.55282690265086254</c:v>
                </c:pt>
                <c:pt idx="6" formatCode="#,##0.00">
                  <c:v>0.53362885519793946</c:v>
                </c:pt>
                <c:pt idx="7" formatCode="#,##0.00">
                  <c:v>0.51443080774501626</c:v>
                </c:pt>
                <c:pt idx="8" formatCode="#,##0.00">
                  <c:v>0.49523276029209307</c:v>
                </c:pt>
                <c:pt idx="9" formatCode="#,##0.00">
                  <c:v>0.47603471283916993</c:v>
                </c:pt>
                <c:pt idx="10" formatCode="#,##0.00">
                  <c:v>0.45683666538624679</c:v>
                </c:pt>
                <c:pt idx="11" formatCode="#,##0.00">
                  <c:v>0.43763861793332359</c:v>
                </c:pt>
                <c:pt idx="12" formatCode="#,##0.00">
                  <c:v>0.4184405704804004</c:v>
                </c:pt>
                <c:pt idx="13" formatCode="#,##0.00">
                  <c:v>0.39924252302747726</c:v>
                </c:pt>
                <c:pt idx="14" formatCode="#,##0.00">
                  <c:v>0.38004447557455412</c:v>
                </c:pt>
                <c:pt idx="15" formatCode="#,##0.00">
                  <c:v>0.36084642812163092</c:v>
                </c:pt>
                <c:pt idx="16" formatCode="#,##0.00">
                  <c:v>0.33772169913331362</c:v>
                </c:pt>
                <c:pt idx="17" formatCode="#,##0.00">
                  <c:v>0.31459697014499638</c:v>
                </c:pt>
                <c:pt idx="18" formatCode="#,##0.00">
                  <c:v>0.29147224115667908</c:v>
                </c:pt>
                <c:pt idx="19" formatCode="#,##0.00">
                  <c:v>0.26834751216836183</c:v>
                </c:pt>
                <c:pt idx="20" formatCode="#,##0.00">
                  <c:v>0.24522278318004453</c:v>
                </c:pt>
                <c:pt idx="21" formatCode="#,##0.00">
                  <c:v>0.22635240421927683</c:v>
                </c:pt>
                <c:pt idx="22" formatCode="#,##0.00">
                  <c:v>0.20748202525850912</c:v>
                </c:pt>
                <c:pt idx="23" formatCode="#,##0.00">
                  <c:v>0.18861164629774141</c:v>
                </c:pt>
                <c:pt idx="24" formatCode="#,##0.00">
                  <c:v>0.1697412673369737</c:v>
                </c:pt>
                <c:pt idx="25" formatCode="#,##0.00">
                  <c:v>0.15087088837620599</c:v>
                </c:pt>
                <c:pt idx="26" formatCode="#,##0.00">
                  <c:v>0.140171895890671</c:v>
                </c:pt>
                <c:pt idx="27" formatCode="#,##0.00">
                  <c:v>0.12947290340513598</c:v>
                </c:pt>
                <c:pt idx="28" formatCode="#,##0.00">
                  <c:v>0.11877391091960099</c:v>
                </c:pt>
                <c:pt idx="29" formatCode="#,##0.00">
                  <c:v>0.10807491843406598</c:v>
                </c:pt>
                <c:pt idx="30" formatCode="#,##0.00">
                  <c:v>9.7375925948530978E-2</c:v>
                </c:pt>
                <c:pt idx="31" formatCode="#,##0.00">
                  <c:v>8.9055526882085831E-2</c:v>
                </c:pt>
                <c:pt idx="32" formatCode="#,##0.00">
                  <c:v>8.0735127815640684E-2</c:v>
                </c:pt>
                <c:pt idx="33" formatCode="#,##0.00">
                  <c:v>7.2414728749195523E-2</c:v>
                </c:pt>
                <c:pt idx="34" formatCode="#,##0.00">
                  <c:v>6.4094329682750389E-2</c:v>
                </c:pt>
                <c:pt idx="35" formatCode="#,##0.00">
                  <c:v>5.5773930616305235E-2</c:v>
                </c:pt>
                <c:pt idx="36" formatCode="#,##0.00">
                  <c:v>5.191837681035736E-2</c:v>
                </c:pt>
                <c:pt idx="37" formatCode="#,##0.00">
                  <c:v>4.8062823004409484E-2</c:v>
                </c:pt>
                <c:pt idx="38" formatCode="#,##0.00">
                  <c:v>4.4207269198461609E-2</c:v>
                </c:pt>
                <c:pt idx="39" formatCode="#,##0.00">
                  <c:v>4.0351715392513733E-2</c:v>
                </c:pt>
                <c:pt idx="40" formatCode="#,##0.00">
                  <c:v>3.6496161586565858E-2</c:v>
                </c:pt>
              </c:numCache>
            </c:numRef>
          </c:val>
          <c:smooth val="0"/>
        </c:ser>
        <c:dLbls>
          <c:showLegendKey val="0"/>
          <c:showVal val="0"/>
          <c:showCatName val="0"/>
          <c:showSerName val="0"/>
          <c:showPercent val="0"/>
          <c:showBubbleSize val="0"/>
        </c:dLbls>
        <c:marker val="1"/>
        <c:smooth val="0"/>
        <c:axId val="622348448"/>
        <c:axId val="622347888"/>
      </c:lineChart>
      <c:catAx>
        <c:axId val="62234676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47328"/>
        <c:crosses val="autoZero"/>
        <c:auto val="1"/>
        <c:lblAlgn val="ctr"/>
        <c:lblOffset val="100"/>
        <c:tickLblSkip val="5"/>
        <c:noMultiLvlLbl val="0"/>
      </c:catAx>
      <c:valAx>
        <c:axId val="622347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kgCO2/car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46768"/>
        <c:crosses val="autoZero"/>
        <c:crossBetween val="between"/>
      </c:valAx>
      <c:valAx>
        <c:axId val="6223478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tCO2/MWh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48448"/>
        <c:crosses val="max"/>
        <c:crossBetween val="between"/>
      </c:valAx>
      <c:catAx>
        <c:axId val="622348448"/>
        <c:scaling>
          <c:orientation val="minMax"/>
        </c:scaling>
        <c:delete val="1"/>
        <c:axPos val="b"/>
        <c:majorTickMark val="out"/>
        <c:minorTickMark val="none"/>
        <c:tickLblPos val="nextTo"/>
        <c:crossAx val="622347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3.jpeg"/><Relationship Id="rId5" Type="http://schemas.openxmlformats.org/officeDocument/2006/relationships/chart" Target="../charts/chart15.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3.jpeg"/><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1</xdr:col>
      <xdr:colOff>2533649</xdr:colOff>
      <xdr:row>58</xdr:row>
      <xdr:rowOff>147637</xdr:rowOff>
    </xdr:from>
    <xdr:to>
      <xdr:col>9</xdr:col>
      <xdr:colOff>638174</xdr:colOff>
      <xdr:row>85</xdr:row>
      <xdr:rowOff>142875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xdr:colOff>
      <xdr:row>58</xdr:row>
      <xdr:rowOff>104775</xdr:rowOff>
    </xdr:from>
    <xdr:to>
      <xdr:col>19</xdr:col>
      <xdr:colOff>200025</xdr:colOff>
      <xdr:row>85</xdr:row>
      <xdr:rowOff>100013</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xdr:colOff>
      <xdr:row>106</xdr:row>
      <xdr:rowOff>66675</xdr:rowOff>
    </xdr:from>
    <xdr:to>
      <xdr:col>10</xdr:col>
      <xdr:colOff>571500</xdr:colOff>
      <xdr:row>130</xdr:row>
      <xdr:rowOff>185737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190500</xdr:colOff>
      <xdr:row>106</xdr:row>
      <xdr:rowOff>66675</xdr:rowOff>
    </xdr:from>
    <xdr:to>
      <xdr:col>22</xdr:col>
      <xdr:colOff>204788</xdr:colOff>
      <xdr:row>130</xdr:row>
      <xdr:rowOff>185737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149</xdr:row>
      <xdr:rowOff>142875</xdr:rowOff>
    </xdr:from>
    <xdr:to>
      <xdr:col>5</xdr:col>
      <xdr:colOff>500403</xdr:colOff>
      <xdr:row>169</xdr:row>
      <xdr:rowOff>47625</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29432250"/>
          <a:ext cx="4577103"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150</xdr:row>
      <xdr:rowOff>152400</xdr:rowOff>
    </xdr:from>
    <xdr:to>
      <xdr:col>14</xdr:col>
      <xdr:colOff>481453</xdr:colOff>
      <xdr:row>162</xdr:row>
      <xdr:rowOff>76199</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48275" y="29632275"/>
          <a:ext cx="6091678" cy="220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704850</xdr:colOff>
      <xdr:row>105</xdr:row>
      <xdr:rowOff>152399</xdr:rowOff>
    </xdr:from>
    <xdr:to>
      <xdr:col>35</xdr:col>
      <xdr:colOff>400050</xdr:colOff>
      <xdr:row>133</xdr:row>
      <xdr:rowOff>28574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328611</xdr:colOff>
      <xdr:row>64</xdr:row>
      <xdr:rowOff>180975</xdr:rowOff>
    </xdr:from>
    <xdr:to>
      <xdr:col>25</xdr:col>
      <xdr:colOff>371474</xdr:colOff>
      <xdr:row>86</xdr:row>
      <xdr:rowOff>80962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19612</xdr:colOff>
      <xdr:row>1</xdr:row>
      <xdr:rowOff>40342</xdr:rowOff>
    </xdr:from>
    <xdr:ext cx="2675963" cy="1205835"/>
    <xdr:pic>
      <xdr:nvPicPr>
        <xdr:cNvPr id="2" name="Imagen 9" descr="Science_Based_Targets_-_Logo_Colour.jp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987" y="183217"/>
          <a:ext cx="2675963" cy="12058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33337</xdr:colOff>
      <xdr:row>106</xdr:row>
      <xdr:rowOff>66675</xdr:rowOff>
    </xdr:from>
    <xdr:to>
      <xdr:col>10</xdr:col>
      <xdr:colOff>571500</xdr:colOff>
      <xdr:row>130</xdr:row>
      <xdr:rowOff>185737</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190500</xdr:colOff>
      <xdr:row>106</xdr:row>
      <xdr:rowOff>66675</xdr:rowOff>
    </xdr:from>
    <xdr:to>
      <xdr:col>22</xdr:col>
      <xdr:colOff>204788</xdr:colOff>
      <xdr:row>130</xdr:row>
      <xdr:rowOff>185737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352425</xdr:colOff>
      <xdr:row>149</xdr:row>
      <xdr:rowOff>142875</xdr:rowOff>
    </xdr:from>
    <xdr:to>
      <xdr:col>5</xdr:col>
      <xdr:colOff>500403</xdr:colOff>
      <xdr:row>169</xdr:row>
      <xdr:rowOff>47625</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29432250"/>
          <a:ext cx="4577103"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150</xdr:row>
      <xdr:rowOff>152400</xdr:rowOff>
    </xdr:from>
    <xdr:to>
      <xdr:col>14</xdr:col>
      <xdr:colOff>481453</xdr:colOff>
      <xdr:row>162</xdr:row>
      <xdr:rowOff>76199</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48275" y="29632275"/>
          <a:ext cx="6091678" cy="220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704850</xdr:colOff>
      <xdr:row>105</xdr:row>
      <xdr:rowOff>152399</xdr:rowOff>
    </xdr:from>
    <xdr:to>
      <xdr:col>35</xdr:col>
      <xdr:colOff>400050</xdr:colOff>
      <xdr:row>133</xdr:row>
      <xdr:rowOff>28574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328611</xdr:colOff>
      <xdr:row>64</xdr:row>
      <xdr:rowOff>180975</xdr:rowOff>
    </xdr:from>
    <xdr:to>
      <xdr:col>25</xdr:col>
      <xdr:colOff>371474</xdr:colOff>
      <xdr:row>86</xdr:row>
      <xdr:rowOff>80962</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163286</xdr:colOff>
      <xdr:row>0</xdr:row>
      <xdr:rowOff>122465</xdr:rowOff>
    </xdr:from>
    <xdr:ext cx="2675963" cy="1205835"/>
    <xdr:pic>
      <xdr:nvPicPr>
        <xdr:cNvPr id="6" name="Imagen 9" descr="Science_Based_Targets_-_Logo_Colour.jp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3786" y="122465"/>
          <a:ext cx="2675963" cy="1205835"/>
        </a:xfrm>
        <a:prstGeom prst="rect">
          <a:avLst/>
        </a:prstGeom>
      </xdr:spPr>
    </xdr:pic>
    <xdr:clientData/>
  </xdr:oneCellAnchor>
  <xdr:twoCellAnchor editAs="oneCell">
    <xdr:from>
      <xdr:col>1</xdr:col>
      <xdr:colOff>27215</xdr:colOff>
      <xdr:row>8</xdr:row>
      <xdr:rowOff>149679</xdr:rowOff>
    </xdr:from>
    <xdr:to>
      <xdr:col>13</xdr:col>
      <xdr:colOff>789215</xdr:colOff>
      <xdr:row>25</xdr:row>
      <xdr:rowOff>122465</xdr:rowOff>
    </xdr:to>
    <xdr:pic>
      <xdr:nvPicPr>
        <xdr:cNvPr id="4" name="Imagen 3"/>
        <xdr:cNvPicPr>
          <a:picLocks noChangeAspect="1"/>
        </xdr:cNvPicPr>
      </xdr:nvPicPr>
      <xdr:blipFill rotWithShape="1">
        <a:blip xmlns:r="http://schemas.openxmlformats.org/officeDocument/2006/relationships" r:embed="rId2"/>
        <a:srcRect t="24443" b="17217"/>
        <a:stretch/>
      </xdr:blipFill>
      <xdr:spPr>
        <a:xfrm>
          <a:off x="217715" y="1891393"/>
          <a:ext cx="12192000" cy="34426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235404</xdr:colOff>
      <xdr:row>11</xdr:row>
      <xdr:rowOff>81640</xdr:rowOff>
    </xdr:from>
    <xdr:to>
      <xdr:col>14</xdr:col>
      <xdr:colOff>921204</xdr:colOff>
      <xdr:row>35</xdr:row>
      <xdr:rowOff>81640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68039</xdr:colOff>
      <xdr:row>61</xdr:row>
      <xdr:rowOff>68035</xdr:rowOff>
    </xdr:from>
    <xdr:to>
      <xdr:col>7</xdr:col>
      <xdr:colOff>753839</xdr:colOff>
      <xdr:row>85</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81643</xdr:colOff>
      <xdr:row>36</xdr:row>
      <xdr:rowOff>81642</xdr:rowOff>
    </xdr:from>
    <xdr:to>
      <xdr:col>7</xdr:col>
      <xdr:colOff>767443</xdr:colOff>
      <xdr:row>60</xdr:row>
      <xdr:rowOff>81642</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258534</xdr:colOff>
      <xdr:row>36</xdr:row>
      <xdr:rowOff>81643</xdr:rowOff>
    </xdr:from>
    <xdr:to>
      <xdr:col>14</xdr:col>
      <xdr:colOff>944334</xdr:colOff>
      <xdr:row>60</xdr:row>
      <xdr:rowOff>81643</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244928</xdr:colOff>
      <xdr:row>61</xdr:row>
      <xdr:rowOff>81643</xdr:rowOff>
    </xdr:from>
    <xdr:to>
      <xdr:col>14</xdr:col>
      <xdr:colOff>930728</xdr:colOff>
      <xdr:row>85</xdr:row>
      <xdr:rowOff>81643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204107</xdr:colOff>
      <xdr:row>0</xdr:row>
      <xdr:rowOff>190500</xdr:rowOff>
    </xdr:from>
    <xdr:ext cx="2675963" cy="1205835"/>
    <xdr:pic>
      <xdr:nvPicPr>
        <xdr:cNvPr id="8" name="Imagen 9" descr="Science_Based_Targets_-_Logo_Colour.jp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90500"/>
          <a:ext cx="2675963" cy="12058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310964</xdr:colOff>
      <xdr:row>0</xdr:row>
      <xdr:rowOff>118783</xdr:rowOff>
    </xdr:from>
    <xdr:ext cx="2675963" cy="1205835"/>
    <xdr:pic>
      <xdr:nvPicPr>
        <xdr:cNvPr id="2" name="Imagen 9" descr="Science_Based_Targets_-_Logo_Colour.jp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964" y="118783"/>
          <a:ext cx="2675963" cy="1205835"/>
        </a:xfrm>
        <a:prstGeom prst="rect">
          <a:avLst/>
        </a:prstGeom>
      </xdr:spPr>
    </xdr:pic>
    <xdr:clientData/>
  </xdr:oneCellAnchor>
  <xdr:twoCellAnchor>
    <xdr:from>
      <xdr:col>1</xdr:col>
      <xdr:colOff>17369</xdr:colOff>
      <xdr:row>36</xdr:row>
      <xdr:rowOff>198343</xdr:rowOff>
    </xdr:from>
    <xdr:to>
      <xdr:col>2</xdr:col>
      <xdr:colOff>922244</xdr:colOff>
      <xdr:row>38</xdr:row>
      <xdr:rowOff>125953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933450</xdr:colOff>
      <xdr:row>36</xdr:row>
      <xdr:rowOff>200024</xdr:rowOff>
    </xdr:from>
    <xdr:to>
      <xdr:col>8</xdr:col>
      <xdr:colOff>790575</xdr:colOff>
      <xdr:row>38</xdr:row>
      <xdr:rowOff>127634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1047750</xdr:colOff>
      <xdr:row>36</xdr:row>
      <xdr:rowOff>200024</xdr:rowOff>
    </xdr:from>
    <xdr:to>
      <xdr:col>5</xdr:col>
      <xdr:colOff>790575</xdr:colOff>
      <xdr:row>38</xdr:row>
      <xdr:rowOff>127634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mailto:frangel@wwfmex.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greet.es.anl.gov/files/vehicle_and_components_manufacturing%3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frangel@wwfmex.or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reet.es.anl.gov/files/vehicle_and_components_manufacturing%3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B337"/>
  <sheetViews>
    <sheetView zoomScale="115" zoomScaleNormal="115" workbookViewId="0">
      <selection activeCell="B32" sqref="B32"/>
    </sheetView>
  </sheetViews>
  <sheetFormatPr baseColWidth="10" defaultRowHeight="11.25"/>
  <cols>
    <col min="1" max="1" width="5" style="9" customWidth="1"/>
    <col min="2" max="2" width="30.42578125" style="2" bestFit="1" customWidth="1"/>
    <col min="3" max="3" width="10.85546875" style="2" bestFit="1" customWidth="1"/>
    <col min="4" max="4" width="10.42578125" style="2" bestFit="1" customWidth="1"/>
    <col min="5" max="5" width="10.85546875" style="2" bestFit="1" customWidth="1"/>
    <col min="6" max="43" width="10.42578125" style="2" bestFit="1" customWidth="1"/>
    <col min="44" max="53" width="10.42578125" style="2" hidden="1" customWidth="1"/>
    <col min="54" max="54" width="0" style="4" hidden="1" customWidth="1"/>
    <col min="55" max="16384" width="11.42578125" style="2"/>
  </cols>
  <sheetData>
    <row r="1" spans="1:80" ht="21" thickBot="1">
      <c r="B1" s="22" t="s">
        <v>37</v>
      </c>
      <c r="C1" s="23"/>
      <c r="D1" s="24"/>
      <c r="E1" s="25"/>
      <c r="F1" s="24"/>
      <c r="G1" s="24"/>
      <c r="H1" s="24"/>
      <c r="I1" s="24"/>
    </row>
    <row r="2" spans="1:80">
      <c r="A2" s="1"/>
      <c r="B2" s="1" t="s">
        <v>67</v>
      </c>
      <c r="D2" s="3"/>
      <c r="E2" s="3"/>
      <c r="F2" s="3"/>
    </row>
    <row r="3" spans="1:80">
      <c r="A3" s="3"/>
      <c r="B3" s="5" t="s">
        <v>38</v>
      </c>
      <c r="C3" s="6">
        <v>2010</v>
      </c>
      <c r="D3" s="3">
        <v>2011</v>
      </c>
      <c r="E3" s="3">
        <v>2012</v>
      </c>
      <c r="F3" s="3">
        <v>2013</v>
      </c>
      <c r="G3" s="3">
        <v>2014</v>
      </c>
      <c r="H3" s="6">
        <v>2015</v>
      </c>
      <c r="I3" s="3">
        <v>2016</v>
      </c>
      <c r="J3" s="3">
        <v>2017</v>
      </c>
      <c r="K3" s="3">
        <v>2018</v>
      </c>
      <c r="L3" s="3">
        <v>2019</v>
      </c>
      <c r="M3" s="6">
        <v>2020</v>
      </c>
      <c r="N3" s="3">
        <v>2021</v>
      </c>
      <c r="O3" s="3">
        <v>2022</v>
      </c>
      <c r="P3" s="3">
        <v>2023</v>
      </c>
      <c r="Q3" s="3">
        <v>2024</v>
      </c>
      <c r="R3" s="6">
        <v>2025</v>
      </c>
      <c r="S3" s="3">
        <v>2026</v>
      </c>
      <c r="T3" s="3">
        <v>2027</v>
      </c>
      <c r="U3" s="3">
        <v>2028</v>
      </c>
      <c r="V3" s="3">
        <v>2029</v>
      </c>
      <c r="W3" s="6">
        <v>2030</v>
      </c>
      <c r="X3" s="3">
        <v>2031</v>
      </c>
      <c r="Y3" s="3">
        <v>2032</v>
      </c>
      <c r="Z3" s="3">
        <v>2033</v>
      </c>
      <c r="AA3" s="3">
        <v>2034</v>
      </c>
      <c r="AB3" s="6">
        <v>2035</v>
      </c>
      <c r="AC3" s="3">
        <v>2036</v>
      </c>
      <c r="AD3" s="3">
        <v>2037</v>
      </c>
      <c r="AE3" s="3">
        <v>2038</v>
      </c>
      <c r="AF3" s="3">
        <v>2039</v>
      </c>
      <c r="AG3" s="6">
        <v>2040</v>
      </c>
      <c r="AH3" s="3">
        <v>2041</v>
      </c>
      <c r="AI3" s="3">
        <v>2042</v>
      </c>
      <c r="AJ3" s="3">
        <v>2043</v>
      </c>
      <c r="AK3" s="3">
        <v>2044</v>
      </c>
      <c r="AL3" s="6">
        <v>2045</v>
      </c>
      <c r="AM3" s="3">
        <v>2046</v>
      </c>
      <c r="AN3" s="3">
        <v>2047</v>
      </c>
      <c r="AO3" s="3">
        <v>2048</v>
      </c>
      <c r="AP3" s="3">
        <v>2049</v>
      </c>
      <c r="AQ3" s="6">
        <v>2050</v>
      </c>
      <c r="AR3" s="3"/>
      <c r="AS3" s="3"/>
      <c r="AT3" s="3"/>
      <c r="AU3" s="3"/>
      <c r="AV3" s="6"/>
      <c r="AW3" s="3"/>
      <c r="AX3" s="3"/>
      <c r="AY3" s="3"/>
      <c r="AZ3" s="3"/>
      <c r="BA3" s="6"/>
    </row>
    <row r="4" spans="1:80">
      <c r="A4" s="7"/>
      <c r="B4" s="83" t="s">
        <v>66</v>
      </c>
      <c r="C4" s="8"/>
      <c r="D4" s="8"/>
      <c r="E4" s="8">
        <f>+'Raw data OLD'!C15</f>
        <v>0</v>
      </c>
      <c r="F4" s="8">
        <f>+'Raw data OLD'!D15</f>
        <v>0</v>
      </c>
      <c r="G4" s="8">
        <f>+'Raw data OLD'!G15</f>
        <v>20003145.664909117</v>
      </c>
      <c r="H4" s="8">
        <f>+'Raw data OLD'!H15</f>
        <v>19334401.948442545</v>
      </c>
      <c r="I4" s="8">
        <f>+'Raw data OLD'!I15</f>
        <v>19055445.14516829</v>
      </c>
      <c r="J4" s="8">
        <f>+'Raw data OLD'!J15</f>
        <v>18776488.341894034</v>
      </c>
      <c r="K4" s="8">
        <f>+'Raw data OLD'!K15</f>
        <v>18497531.538619783</v>
      </c>
      <c r="L4" s="8">
        <f>+'Raw data OLD'!L15</f>
        <v>18218574.735345528</v>
      </c>
      <c r="M4" s="8">
        <f>+'Raw data OLD'!M15</f>
        <v>17939617.932071272</v>
      </c>
      <c r="N4" s="8">
        <f>+'Raw data OLD'!N15</f>
        <v>17660661.128797017</v>
      </c>
      <c r="O4" s="8">
        <f>+'Raw data OLD'!O15</f>
        <v>17381704.325522762</v>
      </c>
      <c r="P4" s="8">
        <f>+'Raw data OLD'!P15</f>
        <v>17102747.52224851</v>
      </c>
      <c r="Q4" s="8">
        <f>+'Raw data OLD'!Q15</f>
        <v>16823790.718974255</v>
      </c>
      <c r="R4" s="8">
        <f>+'Raw data OLD'!R15</f>
        <v>16544833.9157</v>
      </c>
      <c r="S4" s="8">
        <f>+'Raw data OLD'!S15</f>
        <v>16308316.816698475</v>
      </c>
      <c r="T4" s="8">
        <f>+'Raw data OLD'!T15</f>
        <v>16071799.71769695</v>
      </c>
      <c r="U4" s="8">
        <f>+'Raw data OLD'!U15</f>
        <v>15835282.618695423</v>
      </c>
      <c r="V4" s="8">
        <f>+'Raw data OLD'!V15</f>
        <v>15598765.519693898</v>
      </c>
      <c r="W4" s="8">
        <f>+'Raw data OLD'!W15</f>
        <v>15362248.420692373</v>
      </c>
      <c r="X4" s="8">
        <f>+'Raw data OLD'!X15</f>
        <v>15147389.36012378</v>
      </c>
      <c r="Y4" s="8">
        <f>+'Raw data OLD'!Y15</f>
        <v>14932530.299555186</v>
      </c>
      <c r="Z4" s="8">
        <f>+'Raw data OLD'!Z15</f>
        <v>14717671.238986595</v>
      </c>
      <c r="AA4" s="8">
        <f>+'Raw data OLD'!AA15</f>
        <v>14502812.178418001</v>
      </c>
      <c r="AB4" s="8">
        <f>+'Raw data OLD'!AB15</f>
        <v>14287953.117849408</v>
      </c>
      <c r="AC4" s="8">
        <f>+'Raw data OLD'!AC15</f>
        <v>14113119.633404883</v>
      </c>
      <c r="AD4" s="8">
        <f>+'Raw data OLD'!AD15</f>
        <v>13938286.148960358</v>
      </c>
      <c r="AE4" s="8">
        <f>+'Raw data OLD'!AE15</f>
        <v>13763452.664515834</v>
      </c>
      <c r="AF4" s="8">
        <f>+'Raw data OLD'!AF15</f>
        <v>13588619.180071309</v>
      </c>
      <c r="AG4" s="8">
        <f>+'Raw data OLD'!AG15</f>
        <v>13413785.695626784</v>
      </c>
      <c r="AH4" s="8">
        <f>+'Raw data OLD'!AH15</f>
        <v>13319391.660679532</v>
      </c>
      <c r="AI4" s="8">
        <f>+'Raw data OLD'!AI15</f>
        <v>13224997.62573228</v>
      </c>
      <c r="AJ4" s="8">
        <f>+'Raw data OLD'!AJ15</f>
        <v>13130603.590785027</v>
      </c>
      <c r="AK4" s="8">
        <f>+'Raw data OLD'!AK15</f>
        <v>13036209.555837775</v>
      </c>
      <c r="AL4" s="8">
        <f>+'Raw data OLD'!AL15</f>
        <v>12941815.520890523</v>
      </c>
      <c r="AM4" s="8">
        <f>+'Raw data OLD'!AM15</f>
        <v>12784989.116977736</v>
      </c>
      <c r="AN4" s="8">
        <f>+'Raw data OLD'!AN15</f>
        <v>12628162.713064952</v>
      </c>
      <c r="AO4" s="8">
        <f>+'Raw data OLD'!AO15</f>
        <v>12471336.309152165</v>
      </c>
      <c r="AP4" s="8">
        <f>+'Raw data OLD'!AP15</f>
        <v>12314509.905239381</v>
      </c>
      <c r="AQ4" s="8">
        <f>+'Raw data OLD'!AQ15</f>
        <v>12157683.501326595</v>
      </c>
      <c r="AR4" s="8"/>
      <c r="AS4" s="8"/>
      <c r="AT4" s="8"/>
      <c r="AU4" s="8"/>
      <c r="AV4" s="8"/>
      <c r="AW4" s="8"/>
      <c r="AX4" s="8"/>
      <c r="AY4" s="8"/>
      <c r="AZ4" s="8"/>
      <c r="BA4" s="8"/>
      <c r="BB4" s="84"/>
      <c r="BC4" s="8"/>
      <c r="BD4" s="8"/>
      <c r="BE4" s="8"/>
      <c r="BF4" s="8"/>
      <c r="BG4" s="8"/>
      <c r="BH4" s="8"/>
      <c r="BI4" s="8"/>
      <c r="BJ4" s="8"/>
      <c r="BK4" s="8"/>
      <c r="BL4" s="8"/>
      <c r="BM4" s="8"/>
      <c r="BN4" s="8"/>
      <c r="BO4" s="8"/>
      <c r="BP4" s="8"/>
      <c r="BQ4" s="8"/>
      <c r="BR4" s="8"/>
      <c r="BS4" s="8"/>
      <c r="BT4" s="8"/>
      <c r="BU4" s="8"/>
      <c r="BV4" s="8"/>
      <c r="BW4" s="8"/>
      <c r="BX4" s="8"/>
      <c r="BY4" s="8"/>
      <c r="BZ4" s="8"/>
      <c r="CA4" s="8"/>
      <c r="CB4" s="8"/>
    </row>
    <row r="5" spans="1:80">
      <c r="A5" s="7"/>
      <c r="B5" s="83"/>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4"/>
      <c r="BC5" s="8"/>
      <c r="BD5" s="8"/>
      <c r="BE5" s="8"/>
      <c r="BF5" s="8"/>
      <c r="BG5" s="8"/>
      <c r="BH5" s="8"/>
      <c r="BI5" s="8"/>
      <c r="BJ5" s="8"/>
      <c r="BK5" s="8"/>
      <c r="BL5" s="8"/>
      <c r="BM5" s="8"/>
      <c r="BN5" s="8"/>
      <c r="BO5" s="8"/>
      <c r="BP5" s="8"/>
      <c r="BQ5" s="8"/>
      <c r="BR5" s="8"/>
      <c r="BS5" s="8"/>
      <c r="BT5" s="8"/>
      <c r="BU5" s="8"/>
      <c r="BV5" s="8"/>
      <c r="BW5" s="8"/>
      <c r="BX5" s="8"/>
      <c r="BY5" s="8"/>
      <c r="BZ5" s="8"/>
      <c r="CA5" s="8"/>
      <c r="CB5" s="8"/>
    </row>
    <row r="6" spans="1:80">
      <c r="A6" s="7"/>
      <c r="B6" s="83"/>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4"/>
      <c r="BC6" s="8"/>
      <c r="BD6" s="8"/>
      <c r="BE6" s="8"/>
      <c r="BF6" s="8"/>
      <c r="BG6" s="8"/>
      <c r="BH6" s="8"/>
      <c r="BI6" s="8"/>
      <c r="BJ6" s="8"/>
      <c r="BK6" s="8"/>
      <c r="BL6" s="8"/>
      <c r="BM6" s="8"/>
      <c r="BN6" s="8"/>
      <c r="BO6" s="8"/>
      <c r="BP6" s="8"/>
      <c r="BQ6" s="8"/>
      <c r="BR6" s="8"/>
      <c r="BS6" s="8"/>
      <c r="BT6" s="8"/>
      <c r="BU6" s="8"/>
      <c r="BV6" s="8"/>
      <c r="BW6" s="8"/>
      <c r="BX6" s="8"/>
      <c r="BY6" s="8"/>
      <c r="BZ6" s="8"/>
      <c r="CA6" s="8"/>
      <c r="CB6" s="8"/>
    </row>
    <row r="7" spans="1:80">
      <c r="A7" s="7"/>
      <c r="B7" s="83"/>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4"/>
      <c r="BC7" s="8"/>
      <c r="BD7" s="8"/>
      <c r="BE7" s="8"/>
      <c r="BF7" s="8"/>
      <c r="BG7" s="8"/>
      <c r="BH7" s="8"/>
      <c r="BI7" s="8"/>
      <c r="BJ7" s="8"/>
      <c r="BK7" s="8"/>
      <c r="BL7" s="8"/>
      <c r="BM7" s="8"/>
      <c r="BN7" s="8"/>
      <c r="BO7" s="8"/>
      <c r="BP7" s="8"/>
      <c r="BQ7" s="8"/>
      <c r="BR7" s="8"/>
      <c r="BS7" s="8"/>
      <c r="BT7" s="8"/>
      <c r="BU7" s="8"/>
      <c r="BV7" s="8"/>
      <c r="BW7" s="8"/>
      <c r="BX7" s="8"/>
      <c r="BY7" s="8"/>
      <c r="BZ7" s="8"/>
      <c r="CA7" s="8"/>
      <c r="CB7" s="8"/>
    </row>
    <row r="8" spans="1:80">
      <c r="A8" s="7"/>
      <c r="B8" s="83"/>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4"/>
      <c r="BC8" s="8"/>
      <c r="BD8" s="8"/>
      <c r="BE8" s="8"/>
      <c r="BF8" s="8"/>
      <c r="BG8" s="8"/>
      <c r="BH8" s="8"/>
      <c r="BI8" s="8"/>
      <c r="BJ8" s="8"/>
      <c r="BK8" s="8"/>
      <c r="BL8" s="8"/>
      <c r="BM8" s="8"/>
      <c r="BN8" s="8"/>
      <c r="BO8" s="8"/>
      <c r="BP8" s="8"/>
      <c r="BQ8" s="8"/>
      <c r="BR8" s="8"/>
      <c r="BS8" s="8"/>
      <c r="BT8" s="8"/>
      <c r="BU8" s="8"/>
      <c r="BV8" s="8"/>
      <c r="BW8" s="8"/>
      <c r="BX8" s="8"/>
      <c r="BY8" s="8"/>
      <c r="BZ8" s="8"/>
      <c r="CA8" s="8"/>
      <c r="CB8" s="8"/>
    </row>
    <row r="9" spans="1:80">
      <c r="A9" s="7"/>
      <c r="B9" s="83"/>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4"/>
      <c r="BC9" s="8"/>
      <c r="BD9" s="8"/>
      <c r="BE9" s="8"/>
      <c r="BF9" s="8"/>
      <c r="BG9" s="8"/>
      <c r="BH9" s="8"/>
      <c r="BI9" s="8"/>
      <c r="BJ9" s="8"/>
      <c r="BK9" s="8"/>
      <c r="BL9" s="8"/>
      <c r="BM9" s="8"/>
      <c r="BN9" s="8"/>
      <c r="BO9" s="8"/>
      <c r="BP9" s="8"/>
      <c r="BQ9" s="8"/>
      <c r="BR9" s="8"/>
      <c r="BS9" s="8"/>
      <c r="BT9" s="8"/>
      <c r="BU9" s="8"/>
      <c r="BV9" s="8"/>
      <c r="BW9" s="8"/>
      <c r="BX9" s="8"/>
      <c r="BY9" s="8"/>
      <c r="BZ9" s="8"/>
      <c r="CA9" s="8"/>
      <c r="CB9" s="8"/>
    </row>
    <row r="10" spans="1:80">
      <c r="A10" s="7"/>
      <c r="B10" s="83"/>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4"/>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row>
    <row r="11" spans="1:80">
      <c r="A11" s="7"/>
      <c r="B11" s="83"/>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4"/>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row>
    <row r="12" spans="1:80">
      <c r="A12" s="7"/>
      <c r="B12" s="83"/>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4"/>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row>
    <row r="13" spans="1:80">
      <c r="A13" s="7"/>
      <c r="B13" s="83"/>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4"/>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row>
    <row r="14" spans="1:80">
      <c r="A14" s="7"/>
      <c r="B14" s="83"/>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4"/>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row>
    <row r="15" spans="1:80">
      <c r="A15" s="7"/>
      <c r="B15" s="83"/>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4"/>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row>
    <row r="16" spans="1:80">
      <c r="A16" s="7"/>
      <c r="B16" s="83"/>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4"/>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row>
    <row r="17" spans="1:80">
      <c r="A17" s="7"/>
      <c r="B17" s="83"/>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4"/>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row>
    <row r="18" spans="1:80">
      <c r="B18" s="83"/>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4"/>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row>
    <row r="19" spans="1:80">
      <c r="B19" s="83"/>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4"/>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row>
    <row r="20" spans="1:80">
      <c r="B20" s="83"/>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4"/>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row>
    <row r="21" spans="1:80">
      <c r="B21" s="83"/>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4"/>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row>
    <row r="22" spans="1:80">
      <c r="B22" s="83"/>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6"/>
      <c r="BC22" s="87"/>
      <c r="BD22" s="8"/>
      <c r="BE22" s="8"/>
      <c r="BF22" s="8"/>
      <c r="BG22" s="8"/>
      <c r="BH22" s="8"/>
      <c r="BI22" s="8"/>
      <c r="BJ22" s="8"/>
      <c r="BK22" s="8"/>
      <c r="BL22" s="8"/>
      <c r="BM22" s="8"/>
      <c r="BN22" s="8"/>
      <c r="BO22" s="8"/>
      <c r="BP22" s="8"/>
      <c r="BQ22" s="8"/>
      <c r="BR22" s="8"/>
      <c r="BS22" s="8"/>
      <c r="BT22" s="8"/>
      <c r="BU22" s="8"/>
      <c r="BV22" s="8"/>
      <c r="BW22" s="8"/>
      <c r="BX22" s="8"/>
      <c r="BY22" s="8"/>
      <c r="BZ22" s="8"/>
      <c r="CA22" s="8"/>
      <c r="CB22" s="8"/>
    </row>
    <row r="23" spans="1:80">
      <c r="A23" s="1"/>
      <c r="B23" s="83"/>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6"/>
      <c r="BC23" s="87"/>
      <c r="BD23" s="8"/>
      <c r="BE23" s="8"/>
      <c r="BF23" s="8"/>
      <c r="BG23" s="8"/>
      <c r="BH23" s="8"/>
      <c r="BI23" s="8"/>
      <c r="BJ23" s="8"/>
      <c r="BK23" s="8"/>
      <c r="BL23" s="8"/>
      <c r="BM23" s="8"/>
      <c r="BN23" s="8"/>
      <c r="BO23" s="8"/>
      <c r="BP23" s="8"/>
      <c r="BQ23" s="8"/>
      <c r="BR23" s="8"/>
      <c r="BS23" s="8"/>
      <c r="BT23" s="8"/>
      <c r="BU23" s="8"/>
      <c r="BV23" s="8"/>
      <c r="BW23" s="8"/>
      <c r="BX23" s="8"/>
      <c r="BY23" s="8"/>
      <c r="BZ23" s="8"/>
      <c r="CA23" s="8"/>
      <c r="CB23" s="8"/>
    </row>
    <row r="24" spans="1:80">
      <c r="A24" s="3"/>
      <c r="B24" s="83"/>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6"/>
      <c r="BC24" s="87"/>
    </row>
    <row r="25" spans="1:80">
      <c r="A25" s="7"/>
      <c r="B25" s="8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6"/>
      <c r="BC25" s="87"/>
      <c r="BD25" s="8"/>
      <c r="BE25" s="8"/>
      <c r="BF25" s="8"/>
      <c r="BG25" s="8"/>
      <c r="BH25" s="8"/>
      <c r="BI25" s="8"/>
      <c r="BJ25" s="8"/>
      <c r="BK25" s="8"/>
      <c r="BL25" s="8"/>
      <c r="BM25" s="8"/>
      <c r="BN25" s="8"/>
      <c r="BO25" s="8"/>
      <c r="BP25" s="8"/>
      <c r="BQ25" s="8"/>
      <c r="BR25" s="8"/>
      <c r="BS25" s="8"/>
      <c r="BT25" s="8"/>
      <c r="BU25" s="8"/>
      <c r="BV25" s="8"/>
      <c r="BW25" s="8"/>
      <c r="BX25" s="8"/>
      <c r="BY25" s="8"/>
      <c r="BZ25" s="8"/>
      <c r="CA25" s="8"/>
      <c r="CB25" s="8"/>
    </row>
    <row r="26" spans="1:80">
      <c r="A26" s="7"/>
      <c r="B26" s="84"/>
      <c r="C26" s="8"/>
      <c r="D26" s="87"/>
      <c r="E26" s="87"/>
      <c r="F26" s="87"/>
      <c r="G26" s="87"/>
      <c r="H26" s="8"/>
      <c r="I26" s="87"/>
      <c r="J26" s="87"/>
      <c r="K26" s="87"/>
      <c r="L26" s="87"/>
      <c r="M26" s="8"/>
      <c r="N26" s="87"/>
      <c r="O26" s="87"/>
      <c r="P26" s="87"/>
      <c r="Q26" s="87"/>
      <c r="R26" s="8"/>
      <c r="S26" s="87"/>
      <c r="T26" s="87"/>
      <c r="U26" s="87"/>
      <c r="V26" s="87"/>
      <c r="W26" s="8"/>
      <c r="X26" s="87"/>
      <c r="Y26" s="87"/>
      <c r="Z26" s="87"/>
      <c r="AA26" s="87"/>
      <c r="AB26" s="8"/>
      <c r="AC26" s="87"/>
      <c r="AD26" s="87"/>
      <c r="AE26" s="87"/>
      <c r="AF26" s="87"/>
      <c r="AG26" s="8"/>
      <c r="AH26" s="87"/>
      <c r="AI26" s="87"/>
      <c r="AJ26" s="87"/>
      <c r="AK26" s="87"/>
      <c r="AL26" s="8"/>
      <c r="AM26" s="87"/>
      <c r="AN26" s="87"/>
      <c r="AO26" s="87"/>
      <c r="AP26" s="87"/>
      <c r="AQ26" s="8"/>
      <c r="AR26" s="87"/>
      <c r="AS26" s="87"/>
      <c r="AT26" s="87"/>
      <c r="AU26" s="87"/>
      <c r="AV26" s="8"/>
      <c r="AW26" s="87"/>
      <c r="AX26" s="87"/>
      <c r="AY26" s="87"/>
      <c r="AZ26" s="87"/>
      <c r="BA26" s="8"/>
      <c r="BB26" s="86"/>
      <c r="BC26" s="87"/>
      <c r="BD26" s="8"/>
      <c r="BE26" s="8"/>
      <c r="BF26" s="8"/>
      <c r="BG26" s="8"/>
      <c r="BH26" s="8"/>
      <c r="BI26" s="8"/>
      <c r="BJ26" s="8"/>
      <c r="BK26" s="8"/>
      <c r="BL26" s="8"/>
      <c r="BM26" s="8"/>
      <c r="BN26" s="8"/>
      <c r="BO26" s="8"/>
      <c r="BP26" s="8"/>
      <c r="BQ26" s="8"/>
      <c r="BR26" s="8"/>
      <c r="BS26" s="8"/>
      <c r="BT26" s="8"/>
      <c r="BU26" s="8"/>
      <c r="BV26" s="8"/>
      <c r="BW26" s="8"/>
      <c r="BX26" s="8"/>
      <c r="BY26" s="8"/>
      <c r="BZ26" s="8"/>
      <c r="CA26" s="8"/>
      <c r="CB26" s="8"/>
    </row>
    <row r="27" spans="1:80">
      <c r="A27" s="7"/>
      <c r="B27" s="1" t="s">
        <v>68</v>
      </c>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10"/>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row>
    <row r="28" spans="1:80">
      <c r="A28" s="7"/>
      <c r="B28" s="5" t="s">
        <v>38</v>
      </c>
      <c r="C28" s="6">
        <v>2010</v>
      </c>
      <c r="D28" s="3">
        <v>2011</v>
      </c>
      <c r="E28" s="3">
        <v>2012</v>
      </c>
      <c r="F28" s="3">
        <v>2013</v>
      </c>
      <c r="G28" s="3">
        <v>2014</v>
      </c>
      <c r="H28" s="6">
        <v>2015</v>
      </c>
      <c r="I28" s="3">
        <v>2016</v>
      </c>
      <c r="J28" s="3">
        <v>2017</v>
      </c>
      <c r="K28" s="3">
        <v>2018</v>
      </c>
      <c r="L28" s="3">
        <v>2019</v>
      </c>
      <c r="M28" s="6">
        <v>2020</v>
      </c>
      <c r="N28" s="3">
        <v>2021</v>
      </c>
      <c r="O28" s="3">
        <v>2022</v>
      </c>
      <c r="P28" s="3">
        <v>2023</v>
      </c>
      <c r="Q28" s="3">
        <v>2024</v>
      </c>
      <c r="R28" s="6">
        <v>2025</v>
      </c>
      <c r="S28" s="3">
        <v>2026</v>
      </c>
      <c r="T28" s="3">
        <v>2027</v>
      </c>
      <c r="U28" s="3">
        <v>2028</v>
      </c>
      <c r="V28" s="3">
        <v>2029</v>
      </c>
      <c r="W28" s="6">
        <v>2030</v>
      </c>
      <c r="X28" s="3">
        <v>2031</v>
      </c>
      <c r="Y28" s="3">
        <v>2032</v>
      </c>
      <c r="Z28" s="3">
        <v>2033</v>
      </c>
      <c r="AA28" s="3">
        <v>2034</v>
      </c>
      <c r="AB28" s="6">
        <v>2035</v>
      </c>
      <c r="AC28" s="3">
        <v>2036</v>
      </c>
      <c r="AD28" s="3">
        <v>2037</v>
      </c>
      <c r="AE28" s="3">
        <v>2038</v>
      </c>
      <c r="AF28" s="3">
        <v>2039</v>
      </c>
      <c r="AG28" s="6">
        <v>2040</v>
      </c>
      <c r="AH28" s="3">
        <v>2041</v>
      </c>
      <c r="AI28" s="3">
        <v>2042</v>
      </c>
      <c r="AJ28" s="3">
        <v>2043</v>
      </c>
      <c r="AK28" s="3">
        <v>2044</v>
      </c>
      <c r="AL28" s="6">
        <v>2045</v>
      </c>
      <c r="AM28" s="3">
        <v>2046</v>
      </c>
      <c r="AN28" s="3">
        <v>2047</v>
      </c>
      <c r="AO28" s="3">
        <v>2048</v>
      </c>
      <c r="AP28" s="3">
        <v>2049</v>
      </c>
      <c r="AQ28" s="6">
        <v>2050</v>
      </c>
      <c r="AR28" s="3"/>
      <c r="AS28" s="3"/>
      <c r="AT28" s="3"/>
      <c r="AU28" s="3"/>
      <c r="AV28" s="6"/>
      <c r="AW28" s="3"/>
      <c r="AX28" s="3"/>
      <c r="AY28" s="3"/>
      <c r="AZ28" s="3"/>
      <c r="BA28" s="6"/>
      <c r="BD28" s="8"/>
      <c r="BE28" s="8"/>
      <c r="BF28" s="8"/>
      <c r="BG28" s="8"/>
      <c r="BH28" s="8"/>
      <c r="BI28" s="8"/>
      <c r="BJ28" s="8"/>
      <c r="BK28" s="8"/>
      <c r="BL28" s="8"/>
      <c r="BM28" s="8"/>
      <c r="BN28" s="8"/>
      <c r="BO28" s="8"/>
      <c r="BP28" s="8"/>
      <c r="BQ28" s="8"/>
      <c r="BR28" s="8"/>
      <c r="BS28" s="8"/>
      <c r="BT28" s="8"/>
      <c r="BU28" s="8"/>
      <c r="BV28" s="8"/>
      <c r="BW28" s="8"/>
      <c r="BX28" s="8"/>
      <c r="BY28" s="8"/>
      <c r="BZ28" s="8"/>
      <c r="CA28" s="8"/>
      <c r="CB28" s="8"/>
    </row>
    <row r="29" spans="1:80">
      <c r="A29" s="7"/>
      <c r="B29" s="83" t="s">
        <v>66</v>
      </c>
      <c r="C29" s="8">
        <v>40071.791858952871</v>
      </c>
      <c r="D29" s="8">
        <v>42213.770607484723</v>
      </c>
      <c r="E29" s="8">
        <v>44355.749356016568</v>
      </c>
      <c r="F29" s="8">
        <v>46497.72810454842</v>
      </c>
      <c r="G29" s="8">
        <v>48639.706853080264</v>
      </c>
      <c r="H29" s="8">
        <v>50781.685601612116</v>
      </c>
      <c r="I29" s="8">
        <v>51906.104659666205</v>
      </c>
      <c r="J29" s="8">
        <v>53030.523717720302</v>
      </c>
      <c r="K29" s="8">
        <v>54154.942775774391</v>
      </c>
      <c r="L29" s="8">
        <v>55279.361833828487</v>
      </c>
      <c r="M29" s="8">
        <v>56403.780891882576</v>
      </c>
      <c r="N29" s="8">
        <v>57526.707787080908</v>
      </c>
      <c r="O29" s="8">
        <v>58649.63468227924</v>
      </c>
      <c r="P29" s="8">
        <v>59772.56157747758</v>
      </c>
      <c r="Q29" s="8">
        <v>60895.488472675912</v>
      </c>
      <c r="R29" s="8">
        <v>62018.415367874244</v>
      </c>
      <c r="S29" s="8">
        <v>62978.111582471756</v>
      </c>
      <c r="T29" s="8">
        <v>63937.807797069268</v>
      </c>
      <c r="U29" s="8">
        <v>64897.504011666781</v>
      </c>
      <c r="V29" s="8">
        <v>65857.200226264293</v>
      </c>
      <c r="W29" s="8">
        <v>66816.896440861805</v>
      </c>
      <c r="X29" s="8">
        <v>67874.534559575011</v>
      </c>
      <c r="Y29" s="8">
        <v>68932.172678288218</v>
      </c>
      <c r="Z29" s="8">
        <v>69989.810797001439</v>
      </c>
      <c r="AA29" s="8">
        <v>71047.448915714645</v>
      </c>
      <c r="AB29" s="8">
        <v>72105.087034427852</v>
      </c>
      <c r="AC29" s="8">
        <v>73371.259767016571</v>
      </c>
      <c r="AD29" s="8">
        <v>74637.432499605289</v>
      </c>
      <c r="AE29" s="8">
        <v>75903.605232194008</v>
      </c>
      <c r="AF29" s="8">
        <v>77169.777964782726</v>
      </c>
      <c r="AG29" s="8">
        <v>78435.950697371445</v>
      </c>
      <c r="AH29" s="8">
        <v>80040.992234962629</v>
      </c>
      <c r="AI29" s="8">
        <v>81646.033772553812</v>
      </c>
      <c r="AJ29" s="8">
        <v>83251.075310144981</v>
      </c>
      <c r="AK29" s="8">
        <v>84856.116847736164</v>
      </c>
      <c r="AL29" s="8">
        <v>86461.158385327348</v>
      </c>
      <c r="AM29" s="8">
        <v>88130.573467431037</v>
      </c>
      <c r="AN29" s="8">
        <v>89799.988549534726</v>
      </c>
      <c r="AO29" s="8">
        <v>91469.403631638415</v>
      </c>
      <c r="AP29" s="8">
        <v>93138.818713742105</v>
      </c>
      <c r="AQ29" s="8">
        <v>94808.233795845794</v>
      </c>
      <c r="AR29" s="8"/>
      <c r="AS29" s="8"/>
      <c r="AT29" s="8"/>
      <c r="AU29" s="8"/>
      <c r="AV29" s="8"/>
      <c r="AW29" s="8"/>
      <c r="AX29" s="8"/>
      <c r="AY29" s="8"/>
      <c r="AZ29" s="8"/>
      <c r="BA29" s="8"/>
      <c r="BB29" s="2"/>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row>
    <row r="30" spans="1:80">
      <c r="A30" s="7"/>
      <c r="B30" s="83"/>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2"/>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row>
    <row r="31" spans="1:80">
      <c r="A31" s="7"/>
      <c r="B31" s="8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2"/>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row>
    <row r="32" spans="1:80">
      <c r="A32" s="7"/>
      <c r="B32" s="83"/>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2"/>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row>
    <row r="33" spans="1:80">
      <c r="A33" s="7"/>
      <c r="B33" s="83"/>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2"/>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row>
    <row r="34" spans="1:80">
      <c r="A34" s="7"/>
      <c r="B34" s="83"/>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2"/>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row>
    <row r="35" spans="1:80">
      <c r="A35" s="7"/>
      <c r="B35" s="83"/>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2"/>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row>
    <row r="36" spans="1:80">
      <c r="A36" s="7"/>
      <c r="B36" s="83"/>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2"/>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row>
    <row r="37" spans="1:80">
      <c r="A37" s="7"/>
      <c r="B37" s="83"/>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2"/>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row>
    <row r="38" spans="1:80">
      <c r="A38" s="7"/>
      <c r="B38" s="83"/>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2"/>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row>
    <row r="39" spans="1:80">
      <c r="A39" s="7"/>
      <c r="B39" s="83"/>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4"/>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row>
    <row r="40" spans="1:80">
      <c r="A40" s="7"/>
      <c r="B40" s="83"/>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4"/>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row>
    <row r="41" spans="1:80">
      <c r="A41" s="7"/>
      <c r="B41" s="83"/>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4"/>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row>
    <row r="42" spans="1:80">
      <c r="A42" s="7"/>
      <c r="B42" s="83"/>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4"/>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row>
    <row r="43" spans="1:80">
      <c r="B43" s="83"/>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4"/>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row>
    <row r="44" spans="1:80">
      <c r="A44" s="1"/>
      <c r="B44" s="83"/>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4"/>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row>
    <row r="45" spans="1:80">
      <c r="A45" s="3"/>
      <c r="B45" s="83"/>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4"/>
      <c r="BC45" s="8"/>
    </row>
    <row r="46" spans="1:80">
      <c r="A46" s="7"/>
      <c r="B46" s="83"/>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4"/>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row>
    <row r="47" spans="1:80">
      <c r="A47" s="7"/>
      <c r="B47" s="83"/>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2"/>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row>
    <row r="48" spans="1:80">
      <c r="A48" s="7"/>
      <c r="B48" s="83"/>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2"/>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row>
    <row r="49" spans="1:80">
      <c r="A49" s="7"/>
      <c r="B49" s="83"/>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2"/>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row>
    <row r="50" spans="1:80">
      <c r="A50" s="7"/>
      <c r="B50" s="83"/>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2"/>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row>
    <row r="51" spans="1:80">
      <c r="A51" s="7"/>
      <c r="C51" s="8"/>
      <c r="D51" s="8"/>
      <c r="E51" s="8"/>
      <c r="F51" s="8"/>
      <c r="G51" s="8"/>
      <c r="H51" s="8"/>
      <c r="I51" s="8"/>
      <c r="J51" s="8"/>
      <c r="K51" s="8"/>
      <c r="L51" s="8"/>
      <c r="M51" s="8"/>
      <c r="N51" s="8"/>
      <c r="O51" s="8"/>
      <c r="P51" s="8"/>
      <c r="Q51" s="8"/>
      <c r="R51" s="8"/>
      <c r="S51" s="8"/>
      <c r="T51" s="8"/>
      <c r="U51" s="8"/>
      <c r="V51" s="8"/>
      <c r="W51" s="8"/>
      <c r="X51" s="8"/>
      <c r="Y51" s="8"/>
      <c r="Z51" s="8"/>
      <c r="AA51" s="8"/>
      <c r="AB51" s="8"/>
      <c r="AG51" s="8"/>
      <c r="AH51" s="8"/>
      <c r="AI51" s="8"/>
      <c r="AJ51" s="8"/>
      <c r="AK51" s="8"/>
      <c r="AL51" s="8"/>
      <c r="AM51" s="8"/>
      <c r="AN51" s="8"/>
      <c r="AO51" s="8"/>
      <c r="AP51" s="8"/>
      <c r="AQ51" s="8"/>
      <c r="AR51" s="8"/>
      <c r="AS51" s="8"/>
      <c r="AT51" s="8"/>
      <c r="AU51" s="8"/>
      <c r="AV51" s="8"/>
      <c r="AW51" s="8"/>
      <c r="AX51" s="8"/>
      <c r="AY51" s="8"/>
      <c r="AZ51" s="8"/>
      <c r="BA51" s="8"/>
      <c r="BB51" s="10"/>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row>
    <row r="52" spans="1:80">
      <c r="A52" s="7"/>
      <c r="B52" s="1" t="s">
        <v>69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10"/>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row>
    <row r="53" spans="1:80">
      <c r="A53" s="7"/>
      <c r="B53" s="5" t="s">
        <v>38</v>
      </c>
      <c r="C53" s="6">
        <v>2010</v>
      </c>
      <c r="D53" s="3">
        <v>2011</v>
      </c>
      <c r="E53" s="3">
        <v>2012</v>
      </c>
      <c r="F53" s="3">
        <v>2013</v>
      </c>
      <c r="G53" s="3">
        <v>2014</v>
      </c>
      <c r="H53" s="6">
        <v>2015</v>
      </c>
      <c r="I53" s="3">
        <v>2016</v>
      </c>
      <c r="J53" s="3">
        <v>2017</v>
      </c>
      <c r="K53" s="3">
        <v>2018</v>
      </c>
      <c r="L53" s="3">
        <v>2019</v>
      </c>
      <c r="M53" s="6">
        <v>2020</v>
      </c>
      <c r="N53" s="3">
        <v>2021</v>
      </c>
      <c r="O53" s="3">
        <v>2022</v>
      </c>
      <c r="P53" s="3">
        <v>2023</v>
      </c>
      <c r="Q53" s="3">
        <v>2024</v>
      </c>
      <c r="R53" s="6">
        <v>2025</v>
      </c>
      <c r="S53" s="3">
        <v>2026</v>
      </c>
      <c r="T53" s="3">
        <v>2027</v>
      </c>
      <c r="U53" s="3">
        <v>2028</v>
      </c>
      <c r="V53" s="3">
        <v>2029</v>
      </c>
      <c r="W53" s="6">
        <v>2030</v>
      </c>
      <c r="X53" s="3">
        <v>2031</v>
      </c>
      <c r="Y53" s="3">
        <v>2032</v>
      </c>
      <c r="Z53" s="3">
        <v>2033</v>
      </c>
      <c r="AA53" s="3">
        <v>2034</v>
      </c>
      <c r="AB53" s="6">
        <v>2035</v>
      </c>
      <c r="AC53" s="3">
        <v>2036</v>
      </c>
      <c r="AD53" s="3">
        <v>2037</v>
      </c>
      <c r="AE53" s="3">
        <v>2038</v>
      </c>
      <c r="AF53" s="3">
        <v>2039</v>
      </c>
      <c r="AG53" s="6">
        <v>2040</v>
      </c>
      <c r="AH53" s="3">
        <v>2041</v>
      </c>
      <c r="AI53" s="3">
        <v>2042</v>
      </c>
      <c r="AJ53" s="3">
        <v>2043</v>
      </c>
      <c r="AK53" s="3">
        <v>2044</v>
      </c>
      <c r="AL53" s="6">
        <v>2045</v>
      </c>
      <c r="AM53" s="3">
        <v>2046</v>
      </c>
      <c r="AN53" s="3">
        <v>2047</v>
      </c>
      <c r="AO53" s="3">
        <v>2048</v>
      </c>
      <c r="AP53" s="3">
        <v>2049</v>
      </c>
      <c r="AQ53" s="6">
        <v>2050</v>
      </c>
      <c r="AR53" s="3"/>
      <c r="AS53" s="3"/>
      <c r="AT53" s="3"/>
      <c r="AU53" s="3"/>
      <c r="AV53" s="6"/>
      <c r="AW53" s="3"/>
      <c r="AX53" s="3"/>
      <c r="AY53" s="3"/>
      <c r="AZ53" s="3"/>
      <c r="BA53" s="6"/>
      <c r="BD53" s="8"/>
      <c r="BE53" s="8"/>
      <c r="BF53" s="8"/>
      <c r="BG53" s="8"/>
      <c r="BH53" s="8"/>
      <c r="BI53" s="8"/>
      <c r="BJ53" s="8"/>
      <c r="BK53" s="8"/>
      <c r="BL53" s="8"/>
      <c r="BM53" s="8"/>
      <c r="BN53" s="8"/>
      <c r="BO53" s="8"/>
      <c r="BP53" s="8"/>
      <c r="BQ53" s="8"/>
      <c r="BR53" s="8"/>
      <c r="BS53" s="8"/>
      <c r="BT53" s="8"/>
      <c r="BU53" s="8"/>
      <c r="BV53" s="8"/>
      <c r="BW53" s="8"/>
      <c r="BX53" s="8"/>
      <c r="BY53" s="8"/>
      <c r="BZ53" s="8"/>
      <c r="CA53" s="8"/>
      <c r="CB53" s="8"/>
    </row>
    <row r="54" spans="1:80">
      <c r="A54" s="7"/>
      <c r="B54" s="83" t="s">
        <v>66</v>
      </c>
      <c r="C54" s="11">
        <v>122.24330707758429</v>
      </c>
      <c r="D54" s="11">
        <v>119.0954091669435</v>
      </c>
      <c r="E54" s="11">
        <v>116.25154085900522</v>
      </c>
      <c r="F54" s="11">
        <v>113.66968558815684</v>
      </c>
      <c r="G54" s="11">
        <v>111.31522803327937</v>
      </c>
      <c r="H54" s="11">
        <v>109.1593931900004</v>
      </c>
      <c r="I54" s="11">
        <v>105.28807418979217</v>
      </c>
      <c r="J54" s="11">
        <v>101.58092422124622</v>
      </c>
      <c r="K54" s="11">
        <v>98.027717359720313</v>
      </c>
      <c r="L54" s="11">
        <v>94.619059689059469</v>
      </c>
      <c r="M54" s="11">
        <v>91.346306370435585</v>
      </c>
      <c r="N54" s="11">
        <v>88.116835386172369</v>
      </c>
      <c r="O54" s="11">
        <v>85.0110296163691</v>
      </c>
      <c r="P54" s="11">
        <v>82.02191929136967</v>
      </c>
      <c r="Q54" s="11">
        <v>79.143048738177413</v>
      </c>
      <c r="R54" s="11">
        <v>76.368429838394832</v>
      </c>
      <c r="S54" s="11">
        <v>72.939467438342348</v>
      </c>
      <c r="T54" s="11">
        <v>69.613441386866953</v>
      </c>
      <c r="U54" s="11">
        <v>66.385785054223277</v>
      </c>
      <c r="V54" s="11">
        <v>63.252197997340431</v>
      </c>
      <c r="W54" s="11">
        <v>60.208626843523753</v>
      </c>
      <c r="X54" s="11">
        <v>56.801366464791634</v>
      </c>
      <c r="Y54" s="11">
        <v>53.498662443908465</v>
      </c>
      <c r="Z54" s="11">
        <v>50.295774828514496</v>
      </c>
      <c r="AA54" s="11">
        <v>47.188245908856793</v>
      </c>
      <c r="AB54" s="11">
        <v>44.171879518102607</v>
      </c>
      <c r="AC54" s="11">
        <v>41.222683899698865</v>
      </c>
      <c r="AD54" s="11">
        <v>38.373550433757629</v>
      </c>
      <c r="AE54" s="11">
        <v>35.619471612323601</v>
      </c>
      <c r="AF54" s="11">
        <v>32.955768572680498</v>
      </c>
      <c r="AG54" s="11">
        <v>30.378064571144883</v>
      </c>
      <c r="AH54" s="11">
        <v>28.090311085601225</v>
      </c>
      <c r="AI54" s="11">
        <v>25.892505371000023</v>
      </c>
      <c r="AJ54" s="11">
        <v>23.779444975311481</v>
      </c>
      <c r="AK54" s="11">
        <v>21.746321061104993</v>
      </c>
      <c r="AL54" s="11">
        <v>19.78868187077482</v>
      </c>
      <c r="AM54" s="11">
        <v>18.023166961905414</v>
      </c>
      <c r="AN54" s="11">
        <v>16.323295206540863</v>
      </c>
      <c r="AO54" s="11">
        <v>14.685472430034331</v>
      </c>
      <c r="AP54" s="11">
        <v>13.106362144896547</v>
      </c>
      <c r="AQ54" s="11">
        <v>11.582862863587623</v>
      </c>
      <c r="AR54" s="11"/>
      <c r="AS54" s="11"/>
      <c r="AT54" s="11"/>
      <c r="AU54" s="11"/>
      <c r="AV54" s="11"/>
      <c r="AW54" s="11"/>
      <c r="AX54" s="11"/>
      <c r="AY54" s="11"/>
      <c r="AZ54" s="11"/>
      <c r="BA54" s="11"/>
      <c r="BB54" s="10"/>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row>
    <row r="55" spans="1:80">
      <c r="A55" s="7"/>
      <c r="B55" s="83"/>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0"/>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row>
    <row r="56" spans="1:80">
      <c r="A56" s="7"/>
      <c r="B56" s="83"/>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0"/>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row>
    <row r="57" spans="1:80">
      <c r="A57" s="7"/>
      <c r="B57" s="83"/>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0"/>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row>
    <row r="58" spans="1:80">
      <c r="A58" s="7"/>
      <c r="B58" s="83"/>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0"/>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row>
    <row r="59" spans="1:80">
      <c r="A59" s="7"/>
      <c r="B59" s="83"/>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0"/>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row>
    <row r="60" spans="1:80">
      <c r="B60" s="83"/>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0"/>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row>
    <row r="61" spans="1:80">
      <c r="B61" s="83"/>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0"/>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row>
    <row r="62" spans="1:80">
      <c r="B62" s="83"/>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0"/>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row>
    <row r="63" spans="1:80">
      <c r="B63" s="83"/>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10"/>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row>
    <row r="64" spans="1:80">
      <c r="B64" s="8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0"/>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row>
    <row r="65" spans="1:80">
      <c r="A65" s="1"/>
      <c r="B65" s="83"/>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0"/>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row>
    <row r="66" spans="1:80">
      <c r="A66" s="3"/>
      <c r="B66" s="83"/>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0"/>
      <c r="BC66" s="8"/>
    </row>
    <row r="67" spans="1:80">
      <c r="A67" s="7"/>
      <c r="B67" s="83"/>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0"/>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row>
    <row r="68" spans="1:80">
      <c r="A68" s="7"/>
      <c r="B68" s="83"/>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0"/>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row>
    <row r="69" spans="1:80">
      <c r="A69" s="7"/>
      <c r="B69" s="83"/>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0"/>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row>
    <row r="70" spans="1:80">
      <c r="A70" s="7"/>
      <c r="B70" s="83"/>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0"/>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row>
    <row r="71" spans="1:80">
      <c r="A71" s="7"/>
      <c r="B71" s="83"/>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0"/>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row>
    <row r="72" spans="1:80">
      <c r="A72" s="7"/>
      <c r="B72" s="83"/>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10"/>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row>
    <row r="73" spans="1:80">
      <c r="A73" s="7"/>
      <c r="B73" s="8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10"/>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row>
    <row r="74" spans="1:80">
      <c r="A74" s="7"/>
      <c r="B74" s="83"/>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10"/>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row>
    <row r="75" spans="1:80">
      <c r="A75" s="7"/>
      <c r="B75" s="8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10"/>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row>
    <row r="76" spans="1:80">
      <c r="A76" s="7"/>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10"/>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row>
    <row r="77" spans="1:80">
      <c r="A77" s="7"/>
      <c r="B77" s="1" t="s">
        <v>70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10"/>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row>
    <row r="78" spans="1:80">
      <c r="A78" s="7"/>
      <c r="B78" s="5" t="s">
        <v>38</v>
      </c>
      <c r="C78" s="6">
        <v>2010</v>
      </c>
      <c r="D78" s="3">
        <v>2011</v>
      </c>
      <c r="E78" s="3">
        <v>2012</v>
      </c>
      <c r="F78" s="3">
        <v>2013</v>
      </c>
      <c r="G78" s="3">
        <v>2014</v>
      </c>
      <c r="H78" s="6">
        <v>2015</v>
      </c>
      <c r="I78" s="3">
        <v>2016</v>
      </c>
      <c r="J78" s="3">
        <v>2017</v>
      </c>
      <c r="K78" s="3">
        <v>2018</v>
      </c>
      <c r="L78" s="3">
        <v>2019</v>
      </c>
      <c r="M78" s="6">
        <v>2020</v>
      </c>
      <c r="N78" s="3">
        <v>2021</v>
      </c>
      <c r="O78" s="3">
        <v>2022</v>
      </c>
      <c r="P78" s="3">
        <v>2023</v>
      </c>
      <c r="Q78" s="3">
        <v>2024</v>
      </c>
      <c r="R78" s="6">
        <v>2025</v>
      </c>
      <c r="S78" s="3">
        <v>2026</v>
      </c>
      <c r="T78" s="3">
        <v>2027</v>
      </c>
      <c r="U78" s="3">
        <v>2028</v>
      </c>
      <c r="V78" s="3">
        <v>2029</v>
      </c>
      <c r="W78" s="6">
        <v>2030</v>
      </c>
      <c r="X78" s="3">
        <v>2031</v>
      </c>
      <c r="Y78" s="3">
        <v>2032</v>
      </c>
      <c r="Z78" s="3">
        <v>2033</v>
      </c>
      <c r="AA78" s="3">
        <v>2034</v>
      </c>
      <c r="AB78" s="6">
        <v>2035</v>
      </c>
      <c r="AC78" s="3">
        <v>2036</v>
      </c>
      <c r="AD78" s="3">
        <v>2037</v>
      </c>
      <c r="AE78" s="3">
        <v>2038</v>
      </c>
      <c r="AF78" s="3">
        <v>2039</v>
      </c>
      <c r="AG78" s="6">
        <v>2040</v>
      </c>
      <c r="AH78" s="3">
        <v>2041</v>
      </c>
      <c r="AI78" s="3">
        <v>2042</v>
      </c>
      <c r="AJ78" s="3">
        <v>2043</v>
      </c>
      <c r="AK78" s="3">
        <v>2044</v>
      </c>
      <c r="AL78" s="6">
        <v>2045</v>
      </c>
      <c r="AM78" s="3">
        <v>2046</v>
      </c>
      <c r="AN78" s="3">
        <v>2047</v>
      </c>
      <c r="AO78" s="3">
        <v>2048</v>
      </c>
      <c r="AP78" s="3">
        <v>2049</v>
      </c>
      <c r="AQ78" s="6">
        <v>2050</v>
      </c>
      <c r="AR78" s="3"/>
      <c r="AS78" s="3"/>
      <c r="AT78" s="3"/>
      <c r="AU78" s="3"/>
      <c r="AV78" s="6"/>
      <c r="AW78" s="3"/>
      <c r="AX78" s="3"/>
      <c r="AY78" s="3"/>
      <c r="AZ78" s="3"/>
      <c r="BA78" s="6"/>
      <c r="BD78" s="8"/>
      <c r="BE78" s="8"/>
      <c r="BF78" s="8"/>
      <c r="BG78" s="8"/>
      <c r="BH78" s="8"/>
      <c r="BI78" s="8"/>
      <c r="BJ78" s="8"/>
      <c r="BK78" s="8"/>
      <c r="BL78" s="8"/>
      <c r="BM78" s="8"/>
      <c r="BN78" s="8"/>
      <c r="BO78" s="8"/>
      <c r="BP78" s="8"/>
      <c r="BQ78" s="8"/>
      <c r="BR78" s="8"/>
      <c r="BS78" s="8"/>
      <c r="BT78" s="8"/>
      <c r="BU78" s="8"/>
      <c r="BV78" s="8"/>
      <c r="BW78" s="8"/>
      <c r="BX78" s="8"/>
      <c r="BY78" s="8"/>
      <c r="BZ78" s="8"/>
      <c r="CA78" s="8"/>
      <c r="CB78" s="8"/>
    </row>
    <row r="79" spans="1:80">
      <c r="A79" s="7"/>
      <c r="B79" s="83" t="s">
        <v>66</v>
      </c>
      <c r="C79" s="8">
        <v>801.4720303784452</v>
      </c>
      <c r="D79" s="8">
        <v>822.98561147944281</v>
      </c>
      <c r="E79" s="8">
        <v>844.49919258044042</v>
      </c>
      <c r="F79" s="8">
        <v>866.01277368143803</v>
      </c>
      <c r="G79" s="8">
        <v>887.52635478243565</v>
      </c>
      <c r="H79" s="8">
        <v>909.03993588343326</v>
      </c>
      <c r="I79" s="8">
        <v>895.88903106851967</v>
      </c>
      <c r="J79" s="8">
        <v>882.73812625360597</v>
      </c>
      <c r="K79" s="8">
        <v>869.58722143869238</v>
      </c>
      <c r="L79" s="8">
        <v>856.43631662377868</v>
      </c>
      <c r="M79" s="8">
        <v>843.28541180886509</v>
      </c>
      <c r="N79" s="8">
        <v>832.84802870345857</v>
      </c>
      <c r="O79" s="8">
        <v>822.41064559805193</v>
      </c>
      <c r="P79" s="8">
        <v>811.9732624926454</v>
      </c>
      <c r="Q79" s="8">
        <v>801.53587938723877</v>
      </c>
      <c r="R79" s="8">
        <v>791.09849628183224</v>
      </c>
      <c r="S79" s="8">
        <v>764.85516690745033</v>
      </c>
      <c r="T79" s="8">
        <v>738.61183753306841</v>
      </c>
      <c r="U79" s="8">
        <v>712.3685081586865</v>
      </c>
      <c r="V79" s="8">
        <v>686.12517878430458</v>
      </c>
      <c r="W79" s="8">
        <v>659.88184940992267</v>
      </c>
      <c r="X79" s="8">
        <v>607.99479318575345</v>
      </c>
      <c r="Y79" s="8">
        <v>556.10773696158424</v>
      </c>
      <c r="Z79" s="8">
        <v>504.22068073741508</v>
      </c>
      <c r="AA79" s="8">
        <v>452.33362451324592</v>
      </c>
      <c r="AB79" s="8">
        <v>400.44656828907671</v>
      </c>
      <c r="AC79" s="8">
        <v>342.85303621082198</v>
      </c>
      <c r="AD79" s="8">
        <v>285.25950413256732</v>
      </c>
      <c r="AE79" s="8">
        <v>227.66597205431259</v>
      </c>
      <c r="AF79" s="8">
        <v>170.07243997605789</v>
      </c>
      <c r="AG79" s="8">
        <v>112.47890789780323</v>
      </c>
      <c r="AH79" s="8">
        <v>55.154462021176215</v>
      </c>
      <c r="AI79" s="8">
        <v>-2.1699838554507949</v>
      </c>
      <c r="AJ79" s="8">
        <v>-59.494429732077805</v>
      </c>
      <c r="AK79" s="8">
        <v>-116.81887560870481</v>
      </c>
      <c r="AL79" s="8">
        <v>-174.14332148533185</v>
      </c>
      <c r="AM79" s="8">
        <v>-221.55608476640342</v>
      </c>
      <c r="AN79" s="8">
        <v>-268.96884804747498</v>
      </c>
      <c r="AO79" s="8">
        <v>-316.38161132854651</v>
      </c>
      <c r="AP79" s="8">
        <v>-363.7943746096181</v>
      </c>
      <c r="AQ79" s="8">
        <v>-411.20713789068964</v>
      </c>
      <c r="AR79" s="8"/>
      <c r="AS79" s="8"/>
      <c r="AT79" s="8"/>
      <c r="AU79" s="8"/>
      <c r="AV79" s="8"/>
      <c r="AW79" s="8"/>
      <c r="AX79" s="8"/>
      <c r="AY79" s="8"/>
      <c r="AZ79" s="8"/>
      <c r="BA79" s="8"/>
      <c r="BB79" s="84"/>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row>
    <row r="80" spans="1:80">
      <c r="A80" s="7"/>
      <c r="B80" s="83"/>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4"/>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row>
    <row r="81" spans="1:80">
      <c r="B81" s="8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4"/>
      <c r="BC81" s="8"/>
      <c r="BD81" s="8"/>
      <c r="BE81" s="8"/>
      <c r="BF81" s="8"/>
      <c r="BG81" s="8"/>
      <c r="BH81" s="8"/>
      <c r="BI81" s="8"/>
      <c r="BJ81" s="8"/>
      <c r="BK81" s="8"/>
      <c r="BL81" s="8"/>
      <c r="BM81" s="8"/>
      <c r="BN81" s="8"/>
      <c r="BO81" s="8"/>
      <c r="BP81" s="8"/>
      <c r="BQ81" s="8"/>
      <c r="BR81" s="8"/>
      <c r="BS81" s="8"/>
      <c r="BT81" s="8"/>
      <c r="BU81" s="8"/>
      <c r="BV81" s="8"/>
      <c r="BW81" s="8"/>
    </row>
    <row r="82" spans="1:80">
      <c r="B82" s="83"/>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4"/>
      <c r="BC82" s="8"/>
      <c r="BD82" s="8"/>
      <c r="BE82" s="8"/>
      <c r="BF82" s="8"/>
      <c r="BG82" s="8"/>
      <c r="BH82" s="8"/>
      <c r="BI82" s="8"/>
      <c r="BJ82" s="8"/>
      <c r="BK82" s="8"/>
      <c r="BL82" s="8"/>
      <c r="BM82" s="8"/>
      <c r="BN82" s="8"/>
      <c r="BO82" s="8"/>
      <c r="BP82" s="8"/>
      <c r="BQ82" s="8"/>
      <c r="BR82" s="8"/>
      <c r="BS82" s="8"/>
      <c r="BT82" s="8"/>
      <c r="BU82" s="8"/>
      <c r="BV82" s="8"/>
      <c r="BW82" s="8"/>
    </row>
    <row r="83" spans="1:80">
      <c r="B83" s="8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4"/>
      <c r="BC83" s="8"/>
      <c r="BD83" s="8"/>
      <c r="BE83" s="8"/>
      <c r="BF83" s="8"/>
      <c r="BG83" s="8"/>
      <c r="BH83" s="8"/>
      <c r="BI83" s="8"/>
      <c r="BJ83" s="8"/>
      <c r="BK83" s="8"/>
      <c r="BL83" s="8"/>
      <c r="BM83" s="8"/>
      <c r="BN83" s="8"/>
      <c r="BO83" s="8"/>
      <c r="BP83" s="8"/>
      <c r="BQ83" s="8"/>
      <c r="BR83" s="8"/>
      <c r="BS83" s="8"/>
      <c r="BT83" s="8"/>
      <c r="BU83" s="8"/>
      <c r="BV83" s="8"/>
      <c r="BW83" s="8"/>
    </row>
    <row r="84" spans="1:80">
      <c r="B84" s="83"/>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4"/>
      <c r="BC84" s="8"/>
      <c r="BD84" s="8"/>
      <c r="BE84" s="8"/>
      <c r="BF84" s="8"/>
      <c r="BG84" s="8"/>
      <c r="BH84" s="8"/>
      <c r="BI84" s="8"/>
      <c r="BJ84" s="8"/>
      <c r="BK84" s="8"/>
      <c r="BL84" s="8"/>
      <c r="BM84" s="8"/>
      <c r="BN84" s="8"/>
      <c r="BO84" s="8"/>
      <c r="BP84" s="8"/>
      <c r="BQ84" s="8"/>
      <c r="BR84" s="8"/>
      <c r="BS84" s="8"/>
      <c r="BT84" s="8"/>
      <c r="BU84" s="8"/>
      <c r="BV84" s="8"/>
      <c r="BW84" s="8"/>
    </row>
    <row r="85" spans="1:80">
      <c r="B85" s="8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4"/>
      <c r="BC85" s="8"/>
      <c r="BD85" s="8"/>
      <c r="BE85" s="8"/>
      <c r="BF85" s="8"/>
      <c r="BG85" s="8"/>
      <c r="BH85" s="8"/>
      <c r="BI85" s="8"/>
      <c r="BJ85" s="8"/>
      <c r="BK85" s="8"/>
      <c r="BL85" s="8"/>
      <c r="BM85" s="8"/>
      <c r="BN85" s="8"/>
      <c r="BO85" s="8"/>
      <c r="BP85" s="8"/>
      <c r="BQ85" s="8"/>
      <c r="BR85" s="8"/>
      <c r="BS85" s="8"/>
      <c r="BT85" s="8"/>
      <c r="BU85" s="8"/>
      <c r="BV85" s="8"/>
      <c r="BW85" s="8"/>
    </row>
    <row r="86" spans="1:80">
      <c r="A86" s="1"/>
      <c r="B86" s="83"/>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4"/>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row>
    <row r="87" spans="1:80">
      <c r="A87" s="3"/>
      <c r="B87" s="8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4"/>
      <c r="BC87" s="8"/>
    </row>
    <row r="88" spans="1:80">
      <c r="A88" s="7"/>
      <c r="B88" s="83"/>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4"/>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row>
    <row r="89" spans="1:80">
      <c r="A89" s="7"/>
      <c r="B89" s="8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4"/>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row>
    <row r="90" spans="1:80">
      <c r="A90" s="7"/>
      <c r="B90" s="83"/>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4"/>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row>
    <row r="91" spans="1:80">
      <c r="A91" s="7"/>
      <c r="B91" s="8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4"/>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row>
    <row r="92" spans="1:80">
      <c r="A92" s="7"/>
      <c r="B92" s="83"/>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4"/>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row>
    <row r="93" spans="1:80">
      <c r="A93" s="7"/>
      <c r="B93" s="8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4"/>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row>
    <row r="94" spans="1:80">
      <c r="A94" s="7"/>
      <c r="B94" s="83"/>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4"/>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row>
    <row r="95" spans="1:80">
      <c r="A95" s="7"/>
      <c r="B95" s="8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4"/>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row>
    <row r="96" spans="1:80">
      <c r="A96" s="7"/>
      <c r="B96" s="83"/>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4"/>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row>
    <row r="97" spans="1:80">
      <c r="A97" s="7"/>
      <c r="B97" s="83"/>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4"/>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row>
    <row r="98" spans="1:80">
      <c r="A98" s="7"/>
      <c r="B98" s="83"/>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4"/>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row>
    <row r="99" spans="1:80">
      <c r="A99" s="7"/>
      <c r="B99" s="83"/>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4"/>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row>
    <row r="100" spans="1:80">
      <c r="A100" s="7"/>
      <c r="B100" s="83"/>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row>
    <row r="101" spans="1:80">
      <c r="A101" s="7"/>
      <c r="B101" s="83"/>
      <c r="C101" s="8"/>
      <c r="H101" s="8"/>
      <c r="M101" s="8"/>
      <c r="R101" s="8"/>
      <c r="W101" s="8"/>
      <c r="AB101" s="8"/>
      <c r="AG101" s="8"/>
      <c r="AL101" s="8"/>
      <c r="AQ101" s="8"/>
      <c r="AV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row>
    <row r="102" spans="1:80">
      <c r="B102" s="1" t="s">
        <v>71</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10"/>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row>
    <row r="103" spans="1:80">
      <c r="B103" s="5" t="s">
        <v>38</v>
      </c>
      <c r="C103" s="6">
        <v>2010</v>
      </c>
      <c r="D103" s="3">
        <v>2011</v>
      </c>
      <c r="E103" s="3">
        <v>2012</v>
      </c>
      <c r="F103" s="3">
        <v>2013</v>
      </c>
      <c r="G103" s="3">
        <v>2014</v>
      </c>
      <c r="H103" s="6">
        <v>2015</v>
      </c>
      <c r="I103" s="3">
        <v>2016</v>
      </c>
      <c r="J103" s="3">
        <v>2017</v>
      </c>
      <c r="K103" s="3">
        <v>2018</v>
      </c>
      <c r="L103" s="3">
        <v>2019</v>
      </c>
      <c r="M103" s="6">
        <v>2020</v>
      </c>
      <c r="N103" s="3">
        <v>2021</v>
      </c>
      <c r="O103" s="3">
        <v>2022</v>
      </c>
      <c r="P103" s="3">
        <v>2023</v>
      </c>
      <c r="Q103" s="3">
        <v>2024</v>
      </c>
      <c r="R103" s="6">
        <v>2025</v>
      </c>
      <c r="S103" s="3">
        <v>2026</v>
      </c>
      <c r="T103" s="3">
        <v>2027</v>
      </c>
      <c r="U103" s="3">
        <v>2028</v>
      </c>
      <c r="V103" s="3">
        <v>2029</v>
      </c>
      <c r="W103" s="6">
        <v>2030</v>
      </c>
      <c r="X103" s="3">
        <v>2031</v>
      </c>
      <c r="Y103" s="3">
        <v>2032</v>
      </c>
      <c r="Z103" s="3">
        <v>2033</v>
      </c>
      <c r="AA103" s="3">
        <v>2034</v>
      </c>
      <c r="AB103" s="6">
        <v>2035</v>
      </c>
      <c r="AC103" s="3">
        <v>2036</v>
      </c>
      <c r="AD103" s="3">
        <v>2037</v>
      </c>
      <c r="AE103" s="3">
        <v>2038</v>
      </c>
      <c r="AF103" s="3">
        <v>2039</v>
      </c>
      <c r="AG103" s="6">
        <v>2040</v>
      </c>
      <c r="AH103" s="3">
        <v>2041</v>
      </c>
      <c r="AI103" s="3">
        <v>2042</v>
      </c>
      <c r="AJ103" s="3">
        <v>2043</v>
      </c>
      <c r="AK103" s="3">
        <v>2044</v>
      </c>
      <c r="AL103" s="6">
        <v>2045</v>
      </c>
      <c r="AM103" s="3">
        <v>2046</v>
      </c>
      <c r="AN103" s="3">
        <v>2047</v>
      </c>
      <c r="AO103" s="3">
        <v>2048</v>
      </c>
      <c r="AP103" s="3">
        <v>2049</v>
      </c>
      <c r="AQ103" s="6">
        <v>2050</v>
      </c>
      <c r="AR103" s="3"/>
      <c r="AS103" s="3"/>
      <c r="AT103" s="3"/>
      <c r="AU103" s="3"/>
      <c r="AV103" s="6"/>
      <c r="AW103" s="3"/>
      <c r="AX103" s="3"/>
      <c r="AY103" s="3"/>
      <c r="AZ103" s="3"/>
      <c r="BA103" s="6"/>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row>
    <row r="104" spans="1:80">
      <c r="B104" s="83" t="s">
        <v>66</v>
      </c>
      <c r="C104" s="11">
        <v>20.000903208908529</v>
      </c>
      <c r="D104" s="11">
        <v>19.495666926600563</v>
      </c>
      <c r="E104" s="11">
        <v>19.039227266845614</v>
      </c>
      <c r="F104" s="11">
        <v>18.624840588646403</v>
      </c>
      <c r="G104" s="11">
        <v>18.246951147614293</v>
      </c>
      <c r="H104" s="11">
        <v>17.900940567726543</v>
      </c>
      <c r="I104" s="11">
        <v>17.259800883588031</v>
      </c>
      <c r="J104" s="11">
        <v>16.645849679938888</v>
      </c>
      <c r="K104" s="11">
        <v>16.057393413546226</v>
      </c>
      <c r="L104" s="11">
        <v>15.492876332368912</v>
      </c>
      <c r="M104" s="11">
        <v>14.950866741102237</v>
      </c>
      <c r="N104" s="11">
        <v>14.47758894505164</v>
      </c>
      <c r="O104" s="11">
        <v>14.022434241121372</v>
      </c>
      <c r="P104" s="11">
        <v>13.584381212107839</v>
      </c>
      <c r="Q104" s="11">
        <v>13.16248378148558</v>
      </c>
      <c r="R104" s="11">
        <v>12.755864392685274</v>
      </c>
      <c r="S104" s="11">
        <v>12.144777728145264</v>
      </c>
      <c r="T104" s="11">
        <v>11.55203568876386</v>
      </c>
      <c r="U104" s="11">
        <v>10.976824440437991</v>
      </c>
      <c r="V104" s="11">
        <v>10.418377587067136</v>
      </c>
      <c r="W104" s="11">
        <v>9.8759727637749517</v>
      </c>
      <c r="X104" s="11">
        <v>8.9576274390817776</v>
      </c>
      <c r="Y104" s="11">
        <v>8.0674627732536734</v>
      </c>
      <c r="Z104" s="11">
        <v>7.2042012258021035</v>
      </c>
      <c r="AA104" s="11">
        <v>6.366641327964647</v>
      </c>
      <c r="AB104" s="11">
        <v>5.553652103600907</v>
      </c>
      <c r="AC104" s="11">
        <v>4.6728519763667551</v>
      </c>
      <c r="AD104" s="11">
        <v>3.8219361864313313</v>
      </c>
      <c r="AE104" s="11">
        <v>2.9994092027363886</v>
      </c>
      <c r="AF104" s="11">
        <v>2.2038736466712696</v>
      </c>
      <c r="AG104" s="11">
        <v>1.434022369815843</v>
      </c>
      <c r="AH104" s="11">
        <v>0.68907768983258866</v>
      </c>
      <c r="AI104" s="11">
        <v>-2.6577945739481322E-2</v>
      </c>
      <c r="AJ104" s="11">
        <v>-0.71463857386149354</v>
      </c>
      <c r="AK104" s="11">
        <v>-1.3766700616093697</v>
      </c>
      <c r="AL104" s="11">
        <v>-2.0141220027290818</v>
      </c>
      <c r="AM104" s="11">
        <v>-2.5139526052021011</v>
      </c>
      <c r="AN104" s="11">
        <v>-2.9951991352327245</v>
      </c>
      <c r="AO104" s="11">
        <v>-3.4588791308038336</v>
      </c>
      <c r="AP104" s="11">
        <v>-3.9059371767181572</v>
      </c>
      <c r="AQ104" s="11">
        <v>-4.3372513275182172</v>
      </c>
      <c r="AR104" s="11"/>
      <c r="AS104" s="11"/>
      <c r="AT104" s="11"/>
      <c r="AU104" s="11"/>
      <c r="AV104" s="11"/>
      <c r="AW104" s="11"/>
      <c r="AX104" s="11"/>
      <c r="AY104" s="11"/>
      <c r="AZ104" s="11"/>
      <c r="BA104" s="11"/>
      <c r="BB104" s="10"/>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row>
    <row r="105" spans="1:80">
      <c r="B105" s="83"/>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0"/>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row>
    <row r="106" spans="1:80">
      <c r="B106" s="83"/>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0"/>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row>
    <row r="107" spans="1:80">
      <c r="B107" s="83"/>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0"/>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row>
    <row r="108" spans="1:80">
      <c r="B108" s="83"/>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0"/>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row>
    <row r="109" spans="1:80">
      <c r="B109" s="83"/>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0"/>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row>
    <row r="110" spans="1:80">
      <c r="B110" s="83"/>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0"/>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row>
    <row r="111" spans="1:80">
      <c r="B111" s="83"/>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0"/>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row>
    <row r="112" spans="1:80">
      <c r="B112" s="83"/>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0"/>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row>
    <row r="113" spans="2:80">
      <c r="B113" s="83"/>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10"/>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row>
    <row r="114" spans="2:80">
      <c r="B114" s="83"/>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0"/>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row>
    <row r="115" spans="2:80">
      <c r="B115" s="83"/>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0"/>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row>
    <row r="116" spans="2:80">
      <c r="B116" s="83"/>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0"/>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row>
    <row r="117" spans="2:80">
      <c r="B117" s="83"/>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0"/>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row>
    <row r="118" spans="2:80">
      <c r="B118" s="83"/>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0"/>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row>
    <row r="119" spans="2:80">
      <c r="B119" s="83"/>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0"/>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row>
    <row r="120" spans="2:80">
      <c r="B120" s="83"/>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0"/>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row>
    <row r="121" spans="2:80">
      <c r="B121" s="83"/>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0"/>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row>
    <row r="122" spans="2:80">
      <c r="B122" s="83"/>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10"/>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row>
    <row r="123" spans="2:80">
      <c r="B123" s="8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10"/>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row>
    <row r="124" spans="2:80">
      <c r="B124" s="83"/>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10"/>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row>
    <row r="125" spans="2:80">
      <c r="B125" s="8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10"/>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row>
    <row r="126" spans="2:80">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10"/>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row>
    <row r="127" spans="2:80">
      <c r="B127" s="1"/>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10"/>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row>
    <row r="128" spans="2:80">
      <c r="B128" s="5"/>
      <c r="C128" s="6"/>
      <c r="D128" s="3"/>
      <c r="E128" s="3"/>
      <c r="F128" s="3"/>
      <c r="G128" s="3"/>
      <c r="H128" s="6"/>
      <c r="I128" s="3"/>
      <c r="J128" s="3"/>
      <c r="K128" s="3"/>
      <c r="L128" s="3"/>
      <c r="M128" s="6"/>
      <c r="N128" s="3"/>
      <c r="O128" s="3"/>
      <c r="P128" s="3"/>
      <c r="Q128" s="3"/>
      <c r="R128" s="6"/>
      <c r="S128" s="3"/>
      <c r="T128" s="3"/>
      <c r="U128" s="3"/>
      <c r="V128" s="3"/>
      <c r="W128" s="6"/>
      <c r="X128" s="3"/>
      <c r="Y128" s="3"/>
      <c r="Z128" s="3"/>
      <c r="AA128" s="3"/>
      <c r="AB128" s="6"/>
      <c r="AC128" s="3"/>
      <c r="AD128" s="3"/>
      <c r="AE128" s="3"/>
      <c r="AF128" s="3"/>
      <c r="AG128" s="6"/>
      <c r="AH128" s="3"/>
      <c r="AI128" s="3"/>
      <c r="AJ128" s="3"/>
      <c r="AK128" s="3"/>
      <c r="AL128" s="6"/>
      <c r="AM128" s="3"/>
      <c r="AN128" s="3"/>
      <c r="AO128" s="3"/>
      <c r="AP128" s="3"/>
      <c r="AQ128" s="6"/>
      <c r="AR128" s="3"/>
      <c r="AS128" s="3"/>
      <c r="AT128" s="3"/>
      <c r="AU128" s="3"/>
      <c r="AV128" s="6"/>
      <c r="AW128" s="3"/>
      <c r="AX128" s="3"/>
      <c r="AY128" s="3"/>
      <c r="AZ128" s="3"/>
      <c r="BA128" s="6"/>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row>
    <row r="129" spans="2:80">
      <c r="B129" s="8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4"/>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row>
    <row r="130" spans="2:80">
      <c r="B130" s="83"/>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4"/>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row>
    <row r="131" spans="2:80">
      <c r="B131" s="8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4"/>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row>
    <row r="132" spans="2:80">
      <c r="B132" s="83"/>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4"/>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row>
    <row r="133" spans="2:80">
      <c r="B133" s="8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4"/>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row>
    <row r="134" spans="2:80">
      <c r="B134" s="83"/>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4"/>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row>
    <row r="135" spans="2:80">
      <c r="B135" s="8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4"/>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row>
    <row r="136" spans="2:80">
      <c r="B136" s="83"/>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4"/>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row>
    <row r="137" spans="2:80">
      <c r="B137" s="8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4"/>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row>
    <row r="138" spans="2:80">
      <c r="B138" s="83"/>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4"/>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row>
    <row r="139" spans="2:80">
      <c r="B139" s="8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4"/>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row>
    <row r="140" spans="2:80">
      <c r="B140" s="83"/>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4"/>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row>
    <row r="141" spans="2:80">
      <c r="B141" s="8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4"/>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row>
    <row r="142" spans="2:80">
      <c r="B142" s="83"/>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4"/>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row>
    <row r="143" spans="2:80">
      <c r="B143" s="8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4"/>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row>
    <row r="144" spans="2:80">
      <c r="B144" s="83"/>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4"/>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row>
    <row r="145" spans="2:80">
      <c r="B145" s="8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4"/>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row>
    <row r="146" spans="2:80">
      <c r="B146" s="83"/>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4"/>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row>
    <row r="147" spans="2:80">
      <c r="B147" s="83"/>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89"/>
      <c r="AZ147" s="89"/>
      <c r="BA147" s="89"/>
      <c r="BB147" s="10"/>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row>
    <row r="148" spans="2:80">
      <c r="B148" s="83"/>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89"/>
      <c r="AZ148" s="89"/>
      <c r="BA148" s="89"/>
      <c r="BB148" s="10"/>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row>
    <row r="149" spans="2:80">
      <c r="B149" s="83"/>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89"/>
      <c r="AZ149" s="89"/>
      <c r="BA149" s="89"/>
      <c r="BB149" s="10"/>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row>
    <row r="150" spans="2:80">
      <c r="B150" s="83"/>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10"/>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row>
    <row r="151" spans="2:8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10"/>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row>
    <row r="152" spans="2:80">
      <c r="B152" s="1"/>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10"/>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row>
    <row r="153" spans="2:80">
      <c r="B153" s="5"/>
      <c r="C153" s="6"/>
      <c r="D153" s="3"/>
      <c r="E153" s="3"/>
      <c r="F153" s="3"/>
      <c r="G153" s="3"/>
      <c r="H153" s="6"/>
      <c r="I153" s="3"/>
      <c r="J153" s="3"/>
      <c r="K153" s="3"/>
      <c r="L153" s="3"/>
      <c r="M153" s="6"/>
      <c r="N153" s="3"/>
      <c r="O153" s="3"/>
      <c r="P153" s="3"/>
      <c r="Q153" s="3"/>
      <c r="R153" s="6"/>
      <c r="S153" s="3"/>
      <c r="T153" s="3"/>
      <c r="U153" s="3"/>
      <c r="V153" s="3"/>
      <c r="W153" s="6"/>
      <c r="X153" s="3"/>
      <c r="Y153" s="3"/>
      <c r="Z153" s="3"/>
      <c r="AA153" s="3"/>
      <c r="AB153" s="6"/>
      <c r="AC153" s="3"/>
      <c r="AD153" s="3"/>
      <c r="AE153" s="3"/>
      <c r="AF153" s="3"/>
      <c r="AG153" s="6"/>
      <c r="AH153" s="3"/>
      <c r="AI153" s="3"/>
      <c r="AJ153" s="3"/>
      <c r="AK153" s="3"/>
      <c r="AL153" s="6"/>
      <c r="AM153" s="3"/>
      <c r="AN153" s="3"/>
      <c r="AO153" s="3"/>
      <c r="AP153" s="3"/>
      <c r="AQ153" s="6"/>
      <c r="AR153" s="3"/>
      <c r="AS153" s="3"/>
      <c r="AT153" s="3"/>
      <c r="AU153" s="3"/>
      <c r="AV153" s="6"/>
      <c r="AW153" s="3"/>
      <c r="AX153" s="3"/>
      <c r="AY153" s="3"/>
      <c r="AZ153" s="3"/>
      <c r="BA153" s="6"/>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row>
    <row r="154" spans="2:80">
      <c r="B154" s="83"/>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10"/>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row>
    <row r="155" spans="2:80">
      <c r="B155" s="8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10"/>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row>
    <row r="156" spans="2:80">
      <c r="B156" s="83"/>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10"/>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row>
    <row r="157" spans="2:80">
      <c r="B157" s="8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10"/>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row>
    <row r="158" spans="2:80">
      <c r="B158" s="83"/>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10"/>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row>
    <row r="159" spans="2:80">
      <c r="B159" s="8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10"/>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row>
    <row r="160" spans="2:80">
      <c r="B160" s="83"/>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10"/>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row>
    <row r="161" spans="2:80">
      <c r="B161" s="8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10"/>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row>
    <row r="162" spans="2:80">
      <c r="B162" s="83"/>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10"/>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row>
    <row r="163" spans="2:80">
      <c r="B163" s="83"/>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10"/>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row>
    <row r="164" spans="2:80">
      <c r="B164" s="83"/>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10"/>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row>
    <row r="165" spans="2:80">
      <c r="B165" s="8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10"/>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row>
    <row r="166" spans="2:80">
      <c r="B166" s="83"/>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10"/>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row>
    <row r="167" spans="2:80">
      <c r="B167" s="8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10"/>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row>
    <row r="168" spans="2:80">
      <c r="B168" s="83"/>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10"/>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row>
    <row r="169" spans="2:80">
      <c r="B169" s="8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10"/>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row>
    <row r="170" spans="2:80">
      <c r="B170" s="83"/>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10"/>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row>
    <row r="171" spans="2:80">
      <c r="B171" s="8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10"/>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row>
    <row r="172" spans="2:80">
      <c r="B172" s="83"/>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10"/>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row>
    <row r="173" spans="2:80">
      <c r="B173" s="8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10"/>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row>
    <row r="174" spans="2:80">
      <c r="B174" s="83"/>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10"/>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row>
    <row r="175" spans="2:80">
      <c r="B175" s="8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10"/>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row>
    <row r="176" spans="2:80">
      <c r="B176" s="83"/>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C176" s="84"/>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row>
    <row r="177" spans="2:80">
      <c r="B177" s="8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C177" s="84"/>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row>
    <row r="178" spans="2:80">
      <c r="B178" s="83"/>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C178" s="84"/>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row>
    <row r="179" spans="2:80">
      <c r="B179" s="8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C179" s="84"/>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row>
    <row r="180" spans="2:80">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10"/>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row>
    <row r="181" spans="2:80">
      <c r="B181" s="1"/>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10"/>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row>
    <row r="182" spans="2:80">
      <c r="B182" s="5"/>
      <c r="C182" s="6"/>
      <c r="D182" s="3"/>
      <c r="E182" s="3"/>
      <c r="F182" s="3"/>
      <c r="G182" s="3"/>
      <c r="H182" s="6"/>
      <c r="I182" s="3"/>
      <c r="J182" s="3"/>
      <c r="K182" s="3"/>
      <c r="L182" s="3"/>
      <c r="M182" s="6"/>
      <c r="N182" s="3"/>
      <c r="O182" s="3"/>
      <c r="P182" s="3"/>
      <c r="Q182" s="3"/>
      <c r="R182" s="6"/>
      <c r="S182" s="3"/>
      <c r="T182" s="3"/>
      <c r="U182" s="3"/>
      <c r="V182" s="3"/>
      <c r="W182" s="6"/>
      <c r="X182" s="3"/>
      <c r="Y182" s="3"/>
      <c r="Z182" s="3"/>
      <c r="AA182" s="3"/>
      <c r="AB182" s="6"/>
      <c r="AC182" s="3"/>
      <c r="AD182" s="3"/>
      <c r="AE182" s="3"/>
      <c r="AF182" s="3"/>
      <c r="AG182" s="6"/>
      <c r="AH182" s="3"/>
      <c r="AI182" s="3"/>
      <c r="AJ182" s="3"/>
      <c r="AK182" s="3"/>
      <c r="AL182" s="6"/>
      <c r="AM182" s="3"/>
      <c r="AN182" s="3"/>
      <c r="AO182" s="3"/>
      <c r="AP182" s="3"/>
      <c r="AQ182" s="6"/>
      <c r="AR182" s="3"/>
      <c r="AS182" s="3"/>
      <c r="AT182" s="3"/>
      <c r="AU182" s="3"/>
      <c r="AV182" s="6"/>
      <c r="AW182" s="3"/>
      <c r="AX182" s="3"/>
      <c r="AY182" s="3"/>
      <c r="AZ182" s="3"/>
      <c r="BA182" s="6"/>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row>
    <row r="183" spans="2:80">
      <c r="B183" s="8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10"/>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row>
    <row r="184" spans="2:80">
      <c r="B184" s="83"/>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10"/>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row>
    <row r="185" spans="2:80">
      <c r="B185" s="8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10"/>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row>
    <row r="186" spans="2:80">
      <c r="B186" s="83"/>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10"/>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row>
    <row r="187" spans="2:8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10"/>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row>
    <row r="188" spans="2:80">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10"/>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row>
    <row r="189" spans="2:8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10"/>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row>
    <row r="190" spans="2:80">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10"/>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row>
    <row r="191" spans="2:8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10"/>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row>
    <row r="192" spans="2:80">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10"/>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row>
    <row r="193" spans="3:8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10"/>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row>
    <row r="194" spans="3:80">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10"/>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row>
    <row r="195" spans="3:8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10"/>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row>
    <row r="196" spans="3:80">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10"/>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row>
    <row r="197" spans="3:8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10"/>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row>
    <row r="198" spans="3:80">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10"/>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row>
    <row r="199" spans="3:8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10"/>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row>
    <row r="200" spans="3:80">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10"/>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row>
    <row r="201" spans="3:80">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10"/>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row>
    <row r="202" spans="3:80">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10"/>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row>
    <row r="203" spans="3:80">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10"/>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row>
    <row r="204" spans="3:80">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10"/>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row>
    <row r="205" spans="3:80">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10"/>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row>
    <row r="206" spans="3:80">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10"/>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row>
    <row r="207" spans="3:80">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10"/>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row>
    <row r="208" spans="3:80">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10"/>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row>
    <row r="209" spans="3:80">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10"/>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row>
    <row r="210" spans="3:80">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10"/>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row>
    <row r="211" spans="3:80">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10"/>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row>
    <row r="212" spans="3:80">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10"/>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row>
    <row r="213" spans="3:80">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10"/>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row>
    <row r="214" spans="3:80">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10"/>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row>
    <row r="215" spans="3:80">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10"/>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row>
    <row r="216" spans="3:80">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10"/>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row>
    <row r="217" spans="3:80">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10"/>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row>
    <row r="218" spans="3:80">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10"/>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row>
    <row r="219" spans="3:80">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10"/>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row>
    <row r="220" spans="3:80">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10"/>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row>
    <row r="221" spans="3:80">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10"/>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row>
    <row r="222" spans="3:80">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10"/>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row>
    <row r="223" spans="3:80">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10"/>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row>
    <row r="224" spans="3:80">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10"/>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row>
    <row r="225" spans="3:80">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10"/>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row>
    <row r="226" spans="3:80">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10"/>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row>
    <row r="227" spans="3:80">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10"/>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row>
    <row r="228" spans="3:80">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10"/>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row>
    <row r="229" spans="3:80">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10"/>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row>
    <row r="230" spans="3:80">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10"/>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row>
    <row r="231" spans="3:80">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10"/>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row>
    <row r="232" spans="3:80">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10"/>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row>
    <row r="233" spans="3:80">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10"/>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row>
    <row r="234" spans="3:80">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10"/>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row>
    <row r="235" spans="3:80">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10"/>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row>
    <row r="236" spans="3:80">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10"/>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row>
    <row r="237" spans="3:80">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10"/>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row>
    <row r="238" spans="3:80">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10"/>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row>
    <row r="239" spans="3:80">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10"/>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row>
    <row r="240" spans="3:80">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10"/>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row>
    <row r="241" spans="3:80">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10"/>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row>
    <row r="242" spans="3:80">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10"/>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row>
    <row r="243" spans="3:80">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10"/>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row>
    <row r="244" spans="3:80">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10"/>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row>
    <row r="245" spans="3:80">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10"/>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row>
    <row r="246" spans="3:80">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10"/>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row>
    <row r="247" spans="3:80">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10"/>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row>
    <row r="248" spans="3:80">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10"/>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row>
    <row r="249" spans="3:80">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10"/>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row>
    <row r="250" spans="3:80">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10"/>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row>
    <row r="251" spans="3:80">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10"/>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row>
    <row r="252" spans="3:80">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10"/>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row>
    <row r="253" spans="3:80">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10"/>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row>
    <row r="254" spans="3:80">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10"/>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row>
    <row r="255" spans="3:80">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10"/>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row>
    <row r="256" spans="3:80">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10"/>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row>
    <row r="257" spans="3:80">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10"/>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row>
    <row r="258" spans="3:80">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10"/>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row>
    <row r="259" spans="3:80">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10"/>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row>
    <row r="260" spans="3:80">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10"/>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row>
    <row r="261" spans="3:80">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10"/>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row>
    <row r="262" spans="3:80">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10"/>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row>
    <row r="263" spans="3:80">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10"/>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row>
    <row r="264" spans="3:80">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10"/>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row>
    <row r="265" spans="3:80">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10"/>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row>
    <row r="266" spans="3:80">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10"/>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row>
    <row r="267" spans="3:80">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10"/>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row>
    <row r="268" spans="3:80">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10"/>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row>
    <row r="269" spans="3:80">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10"/>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row>
    <row r="270" spans="3:80">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10"/>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row>
    <row r="271" spans="3:80">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10"/>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row>
    <row r="272" spans="3:80">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10"/>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row>
    <row r="273" spans="3:80">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10"/>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row>
    <row r="274" spans="3:80">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10"/>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row>
    <row r="275" spans="3:80">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10"/>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row>
    <row r="276" spans="3:80">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10"/>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row>
    <row r="277" spans="3:80">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10"/>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row>
    <row r="278" spans="3:80">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10"/>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row>
    <row r="279" spans="3:80">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10"/>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row>
    <row r="280" spans="3:80">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10"/>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row>
    <row r="281" spans="3:80">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10"/>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row>
    <row r="282" spans="3:80">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10"/>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row>
    <row r="283" spans="3:80">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10"/>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row>
    <row r="284" spans="3:80">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10"/>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row>
    <row r="285" spans="3:80">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10"/>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row>
    <row r="286" spans="3:80">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10"/>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row>
    <row r="287" spans="3:80">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10"/>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row>
    <row r="288" spans="3:80">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10"/>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row>
    <row r="289" spans="3:80">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10"/>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row>
    <row r="290" spans="3:80">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10"/>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row>
    <row r="291" spans="3:80">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10"/>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row>
    <row r="292" spans="3:80">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10"/>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row>
    <row r="293" spans="3:80">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10"/>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row>
    <row r="294" spans="3:80">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10"/>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row>
    <row r="295" spans="3:80">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10"/>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row>
    <row r="296" spans="3:80">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10"/>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row>
    <row r="297" spans="3:80">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10"/>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row>
    <row r="298" spans="3:80">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10"/>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row>
    <row r="299" spans="3:80">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10"/>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row>
    <row r="300" spans="3:80">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10"/>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row>
    <row r="301" spans="3:80">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10"/>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row>
    <row r="302" spans="3:80">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10"/>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row>
    <row r="303" spans="3:80">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10"/>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row>
    <row r="304" spans="3:80">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10"/>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row>
    <row r="305" spans="3:80">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10"/>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row>
    <row r="306" spans="3:80">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10"/>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row>
    <row r="307" spans="3:80">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10"/>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row>
    <row r="308" spans="3:80">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10"/>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row>
    <row r="309" spans="3:80">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10"/>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row>
    <row r="310" spans="3:80">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10"/>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row>
    <row r="311" spans="3:80">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10"/>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row>
    <row r="312" spans="3:80">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10"/>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row>
    <row r="313" spans="3:80">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10"/>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row>
    <row r="314" spans="3:80">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10"/>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row>
    <row r="315" spans="3:80">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10"/>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row>
    <row r="316" spans="3:80">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10"/>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row>
    <row r="317" spans="3:80">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10"/>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row>
    <row r="318" spans="3:80">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10"/>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row>
    <row r="319" spans="3:80">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10"/>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row>
    <row r="320" spans="3:80">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10"/>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row>
    <row r="321" spans="3:80">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10"/>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row>
    <row r="322" spans="3:80">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10"/>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row>
    <row r="323" spans="3:80">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10"/>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row>
    <row r="324" spans="3:80">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10"/>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row>
    <row r="325" spans="3:80">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10"/>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row>
    <row r="326" spans="3:80">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10"/>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row>
    <row r="327" spans="3:80">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10"/>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row>
    <row r="328" spans="3:80">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10"/>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row>
    <row r="329" spans="3:80">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10"/>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row>
    <row r="330" spans="3:80">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10"/>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row>
    <row r="331" spans="3:80">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10"/>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row>
    <row r="332" spans="3:80">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10"/>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row>
    <row r="333" spans="3:80">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10"/>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row>
    <row r="334" spans="3:80">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10"/>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row>
    <row r="335" spans="3:80">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10"/>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row>
    <row r="336" spans="3:80">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10"/>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row>
    <row r="337" spans="3:80">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10"/>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row>
  </sheetData>
  <conditionalFormatting sqref="C107:BA107">
    <cfRule type="expression" dxfId="21" priority="2">
      <formula>C107&gt;B107</formula>
    </cfRule>
  </conditionalFormatting>
  <conditionalFormatting sqref="C108:BA108">
    <cfRule type="expression" dxfId="20" priority="1">
      <formula>C108&gt;B108</formula>
    </cfRule>
  </conditionalFormatting>
  <conditionalFormatting sqref="C54:BA56 C69:BA71 C59:BA66">
    <cfRule type="expression" dxfId="19" priority="10">
      <formula>C54&gt;B54</formula>
    </cfRule>
  </conditionalFormatting>
  <conditionalFormatting sqref="C104:BA106 C119:BA121 C109:BA116">
    <cfRule type="expression" dxfId="18" priority="9">
      <formula>C104&gt;B104</formula>
    </cfRule>
  </conditionalFormatting>
  <conditionalFormatting sqref="C67:BA67">
    <cfRule type="expression" dxfId="17" priority="8">
      <formula>C67&gt;B67</formula>
    </cfRule>
  </conditionalFormatting>
  <conditionalFormatting sqref="C68:BA68">
    <cfRule type="expression" dxfId="16" priority="7">
      <formula>C68&gt;B68</formula>
    </cfRule>
  </conditionalFormatting>
  <conditionalFormatting sqref="C117:BA117">
    <cfRule type="expression" dxfId="15" priority="6">
      <formula>C117&gt;B117</formula>
    </cfRule>
  </conditionalFormatting>
  <conditionalFormatting sqref="C118:BA118">
    <cfRule type="expression" dxfId="14" priority="5">
      <formula>C118&gt;B118</formula>
    </cfRule>
  </conditionalFormatting>
  <conditionalFormatting sqref="C57:BA57">
    <cfRule type="expression" dxfId="13" priority="4">
      <formula>C57&gt;B57</formula>
    </cfRule>
  </conditionalFormatting>
  <conditionalFormatting sqref="C58:BA58">
    <cfRule type="expression" dxfId="12" priority="3">
      <formula>C58&gt;B58</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EFB300"/>
  </sheetPr>
  <dimension ref="A5:P39"/>
  <sheetViews>
    <sheetView showGridLines="0" topLeftCell="A13" zoomScale="70" zoomScaleNormal="70" workbookViewId="0">
      <selection activeCell="B29" sqref="B29:O29"/>
    </sheetView>
  </sheetViews>
  <sheetFormatPr baseColWidth="10" defaultColWidth="12.42578125" defaultRowHeight="15.75"/>
  <cols>
    <col min="1" max="1" width="2.85546875" style="213" customWidth="1"/>
    <col min="2" max="15" width="14.28515625" style="213" customWidth="1"/>
    <col min="16" max="16384" width="12.42578125" style="213"/>
  </cols>
  <sheetData>
    <row r="5" spans="1:16" ht="23.25">
      <c r="F5" s="238" t="str">
        <f>+Tool!C4</f>
        <v>Science-based target setting - Manufacturing of passenger light-duty vehicles (Scopes 1 &amp; 2)</v>
      </c>
    </row>
    <row r="8" spans="1:16" s="15" customFormat="1" ht="17.25" customHeight="1">
      <c r="A8" s="19"/>
      <c r="B8" s="19"/>
      <c r="C8" s="19"/>
      <c r="D8" s="19"/>
      <c r="E8" s="19"/>
      <c r="F8" s="19"/>
      <c r="G8" s="19"/>
      <c r="H8" s="19"/>
      <c r="I8" s="19"/>
      <c r="J8" s="19"/>
      <c r="K8" s="19"/>
      <c r="L8" s="19"/>
      <c r="M8" s="19"/>
      <c r="N8" s="19"/>
      <c r="O8" s="19"/>
      <c r="P8" s="19"/>
    </row>
    <row r="26" spans="2:16" ht="16.5" thickBot="1"/>
    <row r="27" spans="2:16" ht="15.75" customHeight="1">
      <c r="B27" s="214"/>
      <c r="C27" s="214"/>
      <c r="D27" s="214"/>
      <c r="E27" s="214"/>
      <c r="F27" s="214"/>
      <c r="G27" s="214"/>
      <c r="H27" s="214"/>
      <c r="I27" s="214"/>
      <c r="J27" s="214"/>
      <c r="K27" s="214"/>
      <c r="L27" s="214"/>
      <c r="M27" s="214"/>
      <c r="N27" s="214"/>
      <c r="O27" s="214"/>
      <c r="P27" s="214"/>
    </row>
    <row r="28" spans="2:16" ht="30" customHeight="1">
      <c r="B28" s="250" t="s">
        <v>57</v>
      </c>
      <c r="C28" s="250"/>
      <c r="D28" s="250"/>
      <c r="E28" s="250"/>
      <c r="F28" s="250"/>
      <c r="G28" s="250"/>
      <c r="H28" s="250"/>
      <c r="I28" s="250"/>
      <c r="J28" s="250"/>
      <c r="K28" s="250"/>
      <c r="L28" s="250"/>
      <c r="M28" s="250"/>
      <c r="N28" s="250"/>
      <c r="O28" s="250"/>
    </row>
    <row r="29" spans="2:16" s="69" customFormat="1" ht="69" customHeight="1">
      <c r="B29" s="252" t="s">
        <v>239</v>
      </c>
      <c r="C29" s="252"/>
      <c r="D29" s="252"/>
      <c r="E29" s="252"/>
      <c r="F29" s="252"/>
      <c r="G29" s="252"/>
      <c r="H29" s="252"/>
      <c r="I29" s="252"/>
      <c r="J29" s="252"/>
      <c r="K29" s="252"/>
      <c r="L29" s="252"/>
      <c r="M29" s="252"/>
      <c r="N29" s="252"/>
      <c r="O29" s="252"/>
    </row>
    <row r="30" spans="2:16">
      <c r="B30" s="215"/>
      <c r="C30" s="215"/>
      <c r="D30" s="215"/>
      <c r="E30" s="215"/>
      <c r="F30" s="215"/>
      <c r="G30" s="215"/>
      <c r="H30" s="215"/>
      <c r="I30" s="215"/>
      <c r="J30" s="215"/>
      <c r="K30" s="215"/>
      <c r="L30" s="215"/>
      <c r="M30" s="215"/>
      <c r="N30" s="215"/>
      <c r="O30" s="215"/>
    </row>
    <row r="31" spans="2:16" s="69" customFormat="1" ht="146.25" customHeight="1">
      <c r="B31" s="251" t="s">
        <v>237</v>
      </c>
      <c r="C31" s="251"/>
      <c r="D31" s="251"/>
      <c r="E31" s="251"/>
      <c r="F31" s="251"/>
      <c r="G31" s="251"/>
      <c r="H31" s="251"/>
      <c r="I31" s="251"/>
      <c r="J31" s="251"/>
      <c r="K31" s="251"/>
      <c r="L31" s="251"/>
      <c r="M31" s="251"/>
      <c r="N31" s="251"/>
      <c r="O31" s="251"/>
    </row>
    <row r="32" spans="2:16">
      <c r="B32" s="240"/>
      <c r="C32" s="240"/>
      <c r="D32" s="240"/>
      <c r="E32" s="240"/>
      <c r="F32" s="240"/>
      <c r="G32" s="240"/>
      <c r="H32" s="240"/>
      <c r="I32" s="240"/>
      <c r="J32" s="240"/>
      <c r="K32" s="240"/>
      <c r="L32" s="240"/>
      <c r="M32" s="240"/>
      <c r="N32" s="240"/>
      <c r="O32" s="240"/>
    </row>
    <row r="33" spans="2:16" ht="249" customHeight="1">
      <c r="B33" s="251" t="s">
        <v>238</v>
      </c>
      <c r="C33" s="251"/>
      <c r="D33" s="251"/>
      <c r="E33" s="251"/>
      <c r="F33" s="251"/>
      <c r="G33" s="251"/>
      <c r="H33" s="251"/>
      <c r="I33" s="251"/>
      <c r="J33" s="251"/>
      <c r="K33" s="251"/>
      <c r="L33" s="251"/>
      <c r="M33" s="251"/>
      <c r="N33" s="251"/>
      <c r="O33" s="251"/>
    </row>
    <row r="34" spans="2:16" ht="15.75" customHeight="1">
      <c r="B34" s="240"/>
      <c r="C34" s="240"/>
      <c r="D34" s="240"/>
      <c r="E34" s="240"/>
      <c r="F34" s="240"/>
      <c r="G34" s="240"/>
      <c r="H34" s="240"/>
      <c r="I34" s="240"/>
      <c r="J34" s="240"/>
      <c r="K34" s="240"/>
      <c r="L34" s="240"/>
      <c r="M34" s="240"/>
      <c r="N34" s="240"/>
      <c r="O34" s="240"/>
    </row>
    <row r="35" spans="2:16" ht="39.75" customHeight="1" thickBot="1">
      <c r="B35" s="110" t="s">
        <v>41</v>
      </c>
      <c r="C35" s="22"/>
      <c r="D35" s="22"/>
      <c r="E35" s="22"/>
      <c r="F35" s="22"/>
      <c r="G35" s="22"/>
      <c r="H35" s="22"/>
      <c r="I35" s="22"/>
      <c r="J35" s="22"/>
      <c r="K35" s="22"/>
      <c r="L35" s="22"/>
      <c r="M35" s="22"/>
      <c r="N35" s="22"/>
      <c r="O35" s="22"/>
      <c r="P35" s="22"/>
    </row>
    <row r="36" spans="2:16" ht="33" customHeight="1">
      <c r="B36" s="249" t="s">
        <v>236</v>
      </c>
      <c r="C36" s="249"/>
      <c r="D36" s="249"/>
      <c r="E36" s="249"/>
      <c r="F36" s="249"/>
      <c r="G36" s="249"/>
      <c r="H36" s="249"/>
      <c r="I36" s="249"/>
      <c r="J36" s="249"/>
      <c r="K36" s="249"/>
      <c r="L36" s="249"/>
      <c r="M36" s="249"/>
      <c r="N36" s="249"/>
      <c r="O36" s="249"/>
      <c r="P36" s="249"/>
    </row>
    <row r="37" spans="2:16" ht="39.75" customHeight="1" thickBot="1">
      <c r="B37" s="110" t="s">
        <v>210</v>
      </c>
      <c r="C37" s="22"/>
      <c r="D37" s="22"/>
      <c r="E37" s="22"/>
      <c r="F37" s="22"/>
      <c r="G37" s="22"/>
      <c r="H37" s="22"/>
      <c r="I37" s="22"/>
      <c r="J37" s="22"/>
      <c r="K37" s="22"/>
      <c r="L37" s="22"/>
      <c r="M37" s="22"/>
      <c r="N37" s="22"/>
      <c r="O37" s="22"/>
      <c r="P37" s="22"/>
    </row>
    <row r="38" spans="2:16">
      <c r="B38" s="216" t="s">
        <v>211</v>
      </c>
      <c r="C38" s="216" t="s">
        <v>212</v>
      </c>
      <c r="D38" s="215"/>
      <c r="E38" s="215"/>
      <c r="F38" s="215"/>
      <c r="G38" s="215"/>
      <c r="H38" s="215"/>
      <c r="I38" s="215"/>
      <c r="J38" s="215"/>
      <c r="K38" s="215"/>
      <c r="L38" s="215"/>
      <c r="M38" s="215"/>
      <c r="N38" s="215"/>
      <c r="O38" s="215"/>
    </row>
    <row r="39" spans="2:16">
      <c r="B39" s="217" t="s">
        <v>213</v>
      </c>
      <c r="C39" s="213" t="s">
        <v>214</v>
      </c>
    </row>
  </sheetData>
  <sheetProtection password="AA40" sheet="1" objects="1" scenarios="1" selectLockedCells="1" selectUnlockedCells="1"/>
  <mergeCells count="5">
    <mergeCell ref="B36:P36"/>
    <mergeCell ref="B28:O28"/>
    <mergeCell ref="B31:O31"/>
    <mergeCell ref="B33:O33"/>
    <mergeCell ref="B29:O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8"/>
  <sheetViews>
    <sheetView tabSelected="1" topLeftCell="A12" zoomScaleNormal="100" workbookViewId="0">
      <selection activeCell="I29" sqref="I29"/>
    </sheetView>
  </sheetViews>
  <sheetFormatPr baseColWidth="10" defaultRowHeight="15"/>
  <cols>
    <col min="1" max="1" width="2.7109375" style="241" customWidth="1"/>
    <col min="2" max="15" width="14.28515625" style="241" customWidth="1"/>
    <col min="16" max="16384" width="11.42578125" style="241"/>
  </cols>
  <sheetData>
    <row r="1" spans="1:15" s="230" customFormat="1" ht="15.75"/>
    <row r="2" spans="1:15" s="230" customFormat="1" ht="15.75"/>
    <row r="3" spans="1:15" s="230" customFormat="1" ht="15.75"/>
    <row r="4" spans="1:15" s="230" customFormat="1" ht="15.75"/>
    <row r="5" spans="1:15" s="230" customFormat="1" ht="23.25">
      <c r="F5" s="239" t="str">
        <f>+Tool!C4</f>
        <v>Science-based target setting - Manufacturing of passenger light-duty vehicles (Scopes 1 &amp; 2)</v>
      </c>
    </row>
    <row r="6" spans="1:15" s="230" customFormat="1" ht="15.75"/>
    <row r="7" spans="1:15" s="230" customFormat="1" ht="15.75"/>
    <row r="8" spans="1:15" s="15" customFormat="1" ht="9.9499999999999993" customHeight="1">
      <c r="A8" s="19"/>
      <c r="B8" s="19"/>
      <c r="C8" s="19"/>
      <c r="D8" s="19"/>
      <c r="E8" s="19"/>
      <c r="F8" s="19"/>
      <c r="G8" s="19"/>
      <c r="H8" s="19"/>
      <c r="I8" s="19"/>
      <c r="J8" s="19"/>
      <c r="K8" s="19"/>
      <c r="L8" s="19"/>
      <c r="M8" s="19"/>
      <c r="N8" s="19"/>
      <c r="O8" s="19"/>
    </row>
    <row r="10" spans="1:15" ht="27" thickBot="1">
      <c r="B10" s="231" t="s">
        <v>231</v>
      </c>
      <c r="C10" s="232"/>
      <c r="D10" s="232"/>
      <c r="E10" s="232"/>
      <c r="F10" s="232"/>
      <c r="G10" s="232"/>
      <c r="H10" s="232"/>
      <c r="I10" s="232"/>
      <c r="J10" s="232"/>
      <c r="K10" s="232"/>
      <c r="L10" s="232"/>
      <c r="M10" s="232"/>
      <c r="N10" s="232"/>
      <c r="O10" s="232"/>
    </row>
    <row r="12" spans="1:15" ht="15" customHeight="1">
      <c r="B12" s="253" t="s">
        <v>241</v>
      </c>
      <c r="C12" s="253"/>
      <c r="D12" s="253"/>
      <c r="E12" s="253"/>
      <c r="F12" s="253"/>
      <c r="G12" s="253"/>
      <c r="H12" s="253"/>
    </row>
    <row r="13" spans="1:15" ht="15" customHeight="1">
      <c r="B13" s="253"/>
      <c r="C13" s="253"/>
      <c r="D13" s="253"/>
      <c r="E13" s="253"/>
      <c r="F13" s="253"/>
      <c r="G13" s="253"/>
      <c r="H13" s="253"/>
    </row>
    <row r="14" spans="1:15" ht="15" customHeight="1">
      <c r="B14" s="253"/>
      <c r="C14" s="253"/>
      <c r="D14" s="253"/>
      <c r="E14" s="253"/>
      <c r="F14" s="253"/>
      <c r="G14" s="253"/>
      <c r="H14" s="253"/>
    </row>
    <row r="15" spans="1:15" ht="15" customHeight="1">
      <c r="B15" s="253"/>
      <c r="C15" s="253"/>
      <c r="D15" s="253"/>
      <c r="E15" s="253"/>
      <c r="F15" s="253"/>
      <c r="G15" s="253"/>
      <c r="H15" s="253"/>
    </row>
    <row r="16" spans="1:15" ht="15" customHeight="1">
      <c r="B16" s="253"/>
      <c r="C16" s="253"/>
      <c r="D16" s="253"/>
      <c r="E16" s="253"/>
      <c r="F16" s="253"/>
      <c r="G16" s="253"/>
      <c r="H16" s="253"/>
    </row>
    <row r="17" spans="2:8" ht="15" customHeight="1">
      <c r="B17" s="253"/>
      <c r="C17" s="253"/>
      <c r="D17" s="253"/>
      <c r="E17" s="253"/>
      <c r="F17" s="253"/>
      <c r="G17" s="253"/>
      <c r="H17" s="253"/>
    </row>
    <row r="18" spans="2:8" ht="15" customHeight="1">
      <c r="B18" s="253"/>
      <c r="C18" s="253"/>
      <c r="D18" s="253"/>
      <c r="E18" s="253"/>
      <c r="F18" s="253"/>
      <c r="G18" s="253"/>
      <c r="H18" s="253"/>
    </row>
    <row r="19" spans="2:8" ht="15" customHeight="1">
      <c r="B19" s="253"/>
      <c r="C19" s="253"/>
      <c r="D19" s="253"/>
      <c r="E19" s="253"/>
      <c r="F19" s="253"/>
      <c r="G19" s="253"/>
      <c r="H19" s="253"/>
    </row>
    <row r="20" spans="2:8" ht="15" customHeight="1">
      <c r="B20" s="253"/>
      <c r="C20" s="253"/>
      <c r="D20" s="253"/>
      <c r="E20" s="253"/>
      <c r="F20" s="253"/>
      <c r="G20" s="253"/>
      <c r="H20" s="253"/>
    </row>
    <row r="21" spans="2:8" ht="15" customHeight="1">
      <c r="B21" s="253"/>
      <c r="C21" s="253"/>
      <c r="D21" s="253"/>
      <c r="E21" s="253"/>
      <c r="F21" s="253"/>
      <c r="G21" s="253"/>
      <c r="H21" s="253"/>
    </row>
    <row r="22" spans="2:8" ht="15" customHeight="1">
      <c r="B22" s="253"/>
      <c r="C22" s="253"/>
      <c r="D22" s="253"/>
      <c r="E22" s="253"/>
      <c r="F22" s="253"/>
      <c r="G22" s="253"/>
      <c r="H22" s="253"/>
    </row>
    <row r="23" spans="2:8" ht="15" customHeight="1">
      <c r="B23" s="253"/>
      <c r="C23" s="253"/>
      <c r="D23" s="253"/>
      <c r="E23" s="253"/>
      <c r="F23" s="253"/>
      <c r="G23" s="253"/>
      <c r="H23" s="253"/>
    </row>
    <row r="24" spans="2:8" ht="15" customHeight="1">
      <c r="B24" s="253"/>
      <c r="C24" s="253"/>
      <c r="D24" s="253"/>
      <c r="E24" s="253"/>
      <c r="F24" s="253"/>
      <c r="G24" s="253"/>
      <c r="H24" s="253"/>
    </row>
    <row r="25" spans="2:8" ht="15" customHeight="1">
      <c r="B25" s="253"/>
      <c r="C25" s="253"/>
      <c r="D25" s="253"/>
      <c r="E25" s="253"/>
      <c r="F25" s="253"/>
      <c r="G25" s="253"/>
      <c r="H25" s="253"/>
    </row>
    <row r="26" spans="2:8" ht="15" customHeight="1">
      <c r="B26" s="253"/>
      <c r="C26" s="253"/>
      <c r="D26" s="253"/>
      <c r="E26" s="253"/>
      <c r="F26" s="253"/>
      <c r="G26" s="253"/>
      <c r="H26" s="253"/>
    </row>
    <row r="27" spans="2:8" ht="15" customHeight="1">
      <c r="B27" s="253"/>
      <c r="C27" s="253"/>
      <c r="D27" s="253"/>
      <c r="E27" s="253"/>
      <c r="F27" s="253"/>
      <c r="G27" s="253"/>
      <c r="H27" s="253"/>
    </row>
    <row r="28" spans="2:8" ht="15" customHeight="1">
      <c r="B28" s="253"/>
      <c r="C28" s="253"/>
      <c r="D28" s="253"/>
      <c r="E28" s="253"/>
      <c r="F28" s="253"/>
      <c r="G28" s="253"/>
      <c r="H28" s="253"/>
    </row>
    <row r="29" spans="2:8" ht="15" customHeight="1">
      <c r="B29" s="253"/>
      <c r="C29" s="253"/>
      <c r="D29" s="253"/>
      <c r="E29" s="253"/>
      <c r="F29" s="253"/>
      <c r="G29" s="253"/>
      <c r="H29" s="253"/>
    </row>
    <row r="30" spans="2:8" ht="15" customHeight="1">
      <c r="B30" s="253"/>
      <c r="C30" s="253"/>
      <c r="D30" s="253"/>
      <c r="E30" s="253"/>
      <c r="F30" s="253"/>
      <c r="G30" s="253"/>
      <c r="H30" s="253"/>
    </row>
    <row r="31" spans="2:8" ht="15" customHeight="1">
      <c r="B31" s="253"/>
      <c r="C31" s="253"/>
      <c r="D31" s="253"/>
      <c r="E31" s="253"/>
      <c r="F31" s="253"/>
      <c r="G31" s="253"/>
      <c r="H31" s="253"/>
    </row>
    <row r="32" spans="2:8" ht="15" customHeight="1">
      <c r="B32" s="253"/>
      <c r="C32" s="253"/>
      <c r="D32" s="253"/>
      <c r="E32" s="253"/>
      <c r="F32" s="253"/>
      <c r="G32" s="253"/>
      <c r="H32" s="253"/>
    </row>
    <row r="33" spans="2:8" ht="15" customHeight="1">
      <c r="B33" s="253"/>
      <c r="C33" s="253"/>
      <c r="D33" s="253"/>
      <c r="E33" s="253"/>
      <c r="F33" s="253"/>
      <c r="G33" s="253"/>
      <c r="H33" s="253"/>
    </row>
    <row r="34" spans="2:8" ht="15" customHeight="1">
      <c r="B34" s="253"/>
      <c r="C34" s="253"/>
      <c r="D34" s="253"/>
      <c r="E34" s="253"/>
      <c r="F34" s="253"/>
      <c r="G34" s="253"/>
      <c r="H34" s="253"/>
    </row>
    <row r="35" spans="2:8" ht="18.75" customHeight="1">
      <c r="B35" s="253"/>
      <c r="C35" s="253"/>
      <c r="D35" s="253"/>
      <c r="E35" s="253"/>
      <c r="F35" s="253"/>
      <c r="G35" s="253"/>
      <c r="H35" s="253"/>
    </row>
    <row r="88" spans="2:2">
      <c r="B88" s="241" t="s">
        <v>234</v>
      </c>
    </row>
  </sheetData>
  <sheetProtection password="AA40" sheet="1" objects="1" scenarios="1"/>
  <mergeCells count="1">
    <mergeCell ref="B12:H3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333F50"/>
  </sheetPr>
  <dimension ref="A1:N53"/>
  <sheetViews>
    <sheetView showGridLines="0" topLeftCell="B4" zoomScale="85" zoomScaleNormal="85" workbookViewId="0">
      <selection activeCell="C4" sqref="C4:I4"/>
    </sheetView>
  </sheetViews>
  <sheetFormatPr baseColWidth="10" defaultColWidth="10.28515625" defaultRowHeight="14.25"/>
  <cols>
    <col min="1" max="1" width="5" style="69" customWidth="1"/>
    <col min="2" max="2" width="55" style="69" customWidth="1"/>
    <col min="3" max="3" width="25.28515625" style="69" customWidth="1"/>
    <col min="4" max="9" width="23.5703125" style="69" customWidth="1"/>
    <col min="10" max="10" width="43.28515625" style="69" customWidth="1"/>
    <col min="11" max="16384" width="10.28515625" style="69"/>
  </cols>
  <sheetData>
    <row r="1" spans="1:13" s="15" customFormat="1" ht="11.25" customHeight="1">
      <c r="A1" s="14"/>
      <c r="B1" s="14"/>
      <c r="C1" s="14"/>
      <c r="J1" s="14"/>
      <c r="K1" s="14"/>
      <c r="L1" s="14"/>
      <c r="M1" s="14"/>
    </row>
    <row r="2" spans="1:13" s="15" customFormat="1" ht="6.75" customHeight="1">
      <c r="A2" s="14"/>
      <c r="B2" s="14"/>
      <c r="C2" s="14"/>
      <c r="J2" s="14"/>
      <c r="K2" s="14"/>
      <c r="L2" s="14"/>
      <c r="M2" s="14"/>
    </row>
    <row r="3" spans="1:13" s="15" customFormat="1" ht="15.75" customHeight="1"/>
    <row r="4" spans="1:13" s="15" customFormat="1" ht="23.25">
      <c r="C4" s="254" t="s">
        <v>235</v>
      </c>
      <c r="D4" s="254"/>
      <c r="E4" s="254"/>
      <c r="F4" s="254"/>
      <c r="G4" s="254"/>
      <c r="H4" s="254"/>
      <c r="I4" s="254"/>
      <c r="J4" s="16"/>
      <c r="K4" s="16"/>
      <c r="L4" s="16"/>
      <c r="M4" s="16"/>
    </row>
    <row r="5" spans="1:13" s="15" customFormat="1" ht="11.25" customHeight="1">
      <c r="C5" s="17"/>
      <c r="D5" s="17"/>
      <c r="E5" s="17"/>
      <c r="F5" s="17"/>
      <c r="G5" s="17"/>
      <c r="H5" s="17"/>
      <c r="I5" s="17"/>
      <c r="J5" s="16"/>
      <c r="K5" s="16"/>
      <c r="L5" s="16"/>
      <c r="M5" s="16"/>
    </row>
    <row r="6" spans="1:13" s="15" customFormat="1" ht="15">
      <c r="A6" s="14"/>
      <c r="C6" s="18" t="s">
        <v>209</v>
      </c>
      <c r="D6" s="62">
        <v>43514</v>
      </c>
      <c r="E6" s="14"/>
      <c r="G6" s="64" t="s">
        <v>9</v>
      </c>
      <c r="H6" s="92" t="s">
        <v>10</v>
      </c>
      <c r="J6" s="14"/>
      <c r="K6" s="14"/>
      <c r="L6" s="14"/>
      <c r="M6" s="14"/>
    </row>
    <row r="7" spans="1:13" s="15" customFormat="1" ht="15">
      <c r="A7" s="14"/>
      <c r="C7" s="108" t="s">
        <v>44</v>
      </c>
      <c r="D7" s="109" t="s">
        <v>42</v>
      </c>
      <c r="E7" s="109" t="s">
        <v>43</v>
      </c>
      <c r="G7" s="63" t="s">
        <v>40</v>
      </c>
      <c r="H7" s="92" t="s">
        <v>91</v>
      </c>
      <c r="J7" s="14"/>
      <c r="K7" s="14"/>
      <c r="L7" s="14"/>
      <c r="M7" s="14"/>
    </row>
    <row r="8" spans="1:13" s="15" customFormat="1" ht="9.9499999999999993" customHeight="1">
      <c r="A8" s="14"/>
      <c r="B8" s="14"/>
      <c r="C8" s="14"/>
      <c r="D8" s="14"/>
      <c r="E8" s="14"/>
      <c r="F8" s="14"/>
      <c r="G8" s="14"/>
      <c r="H8" s="14"/>
      <c r="I8" s="14"/>
      <c r="J8" s="14"/>
      <c r="K8" s="14"/>
      <c r="L8" s="14"/>
      <c r="M8" s="14"/>
    </row>
    <row r="9" spans="1:13" s="15" customFormat="1" ht="9.9499999999999993" customHeight="1">
      <c r="A9" s="19"/>
      <c r="B9" s="19"/>
      <c r="C9" s="19"/>
      <c r="D9" s="19"/>
      <c r="E9" s="19"/>
      <c r="F9" s="19"/>
      <c r="G9" s="19"/>
      <c r="H9" s="19"/>
      <c r="I9" s="19"/>
    </row>
    <row r="10" spans="1:13" s="15" customFormat="1" ht="9.9499999999999993" customHeight="1">
      <c r="A10" s="14"/>
      <c r="D10" s="14"/>
      <c r="E10" s="14"/>
      <c r="F10" s="14"/>
      <c r="G10" s="14"/>
      <c r="H10" s="14"/>
      <c r="I10" s="14"/>
      <c r="J10" s="20"/>
      <c r="K10" s="20"/>
      <c r="L10" s="20"/>
      <c r="M10" s="20"/>
    </row>
    <row r="11" spans="1:13" s="15" customFormat="1" ht="20.100000000000001" customHeight="1">
      <c r="A11" s="14"/>
      <c r="B11" s="208" t="s">
        <v>11</v>
      </c>
      <c r="C11" s="209"/>
      <c r="D11" s="14"/>
      <c r="E11" s="14"/>
      <c r="F11" s="14"/>
      <c r="G11" s="14"/>
      <c r="H11" s="14"/>
      <c r="I11" s="14"/>
      <c r="J11" s="20"/>
      <c r="K11" s="20"/>
      <c r="L11" s="20"/>
      <c r="M11" s="20"/>
    </row>
    <row r="12" spans="1:13" s="15" customFormat="1" ht="27.75" customHeight="1">
      <c r="A12" s="14"/>
      <c r="B12" s="203" t="s">
        <v>208</v>
      </c>
      <c r="C12" s="21"/>
      <c r="D12" s="14"/>
      <c r="E12" s="14"/>
      <c r="F12" s="14"/>
      <c r="G12" s="14"/>
      <c r="H12" s="14"/>
      <c r="I12" s="14"/>
      <c r="J12" s="20"/>
      <c r="K12" s="20"/>
      <c r="L12" s="20"/>
      <c r="M12" s="20"/>
    </row>
    <row r="13" spans="1:13" s="204" customFormat="1" ht="20.100000000000001" customHeight="1">
      <c r="A13" s="15"/>
      <c r="B13" s="206" t="s">
        <v>66</v>
      </c>
      <c r="E13" s="205"/>
      <c r="F13" s="205"/>
      <c r="G13" s="202"/>
    </row>
    <row r="14" spans="1:13" s="15" customFormat="1" ht="6.75" customHeight="1">
      <c r="B14" s="26"/>
      <c r="E14" s="27"/>
    </row>
    <row r="15" spans="1:13" s="15" customFormat="1" ht="20.100000000000001" customHeight="1" thickBot="1">
      <c r="B15" s="22" t="s">
        <v>205</v>
      </c>
      <c r="C15" s="24"/>
      <c r="D15" s="96"/>
      <c r="E15" s="24"/>
      <c r="F15" s="24"/>
      <c r="G15" s="24"/>
      <c r="H15" s="24"/>
      <c r="I15" s="24"/>
    </row>
    <row r="16" spans="1:13" s="15" customFormat="1" ht="20.100000000000001" customHeight="1">
      <c r="D16" s="95"/>
    </row>
    <row r="17" spans="2:14" s="15" customFormat="1" ht="21" customHeight="1">
      <c r="B17" s="29" t="s">
        <v>45</v>
      </c>
      <c r="C17" s="80"/>
      <c r="D17" s="94" t="s">
        <v>90</v>
      </c>
    </row>
    <row r="18" spans="2:14" s="15" customFormat="1" ht="21" customHeight="1">
      <c r="B18" s="29" t="s">
        <v>46</v>
      </c>
      <c r="C18" s="80"/>
      <c r="D18" s="94" t="s">
        <v>47</v>
      </c>
      <c r="H18" s="82"/>
    </row>
    <row r="19" spans="2:14" s="15" customFormat="1" ht="11.25" customHeight="1">
      <c r="B19" s="29"/>
      <c r="C19" s="210"/>
      <c r="D19" s="97"/>
    </row>
    <row r="20" spans="2:14" s="15" customFormat="1" ht="21" customHeight="1">
      <c r="B20" s="29"/>
      <c r="C20" s="211">
        <v>100</v>
      </c>
      <c r="D20" s="94"/>
      <c r="J20" s="30"/>
    </row>
    <row r="21" spans="2:14" s="15" customFormat="1" ht="21" customHeight="1">
      <c r="B21" s="29" t="s">
        <v>78</v>
      </c>
      <c r="C21" s="81"/>
      <c r="D21" s="94" t="s">
        <v>72</v>
      </c>
    </row>
    <row r="22" spans="2:14" s="15" customFormat="1" ht="21" customHeight="1">
      <c r="B22" s="29" t="s">
        <v>79</v>
      </c>
      <c r="C22" s="81"/>
      <c r="D22" s="94" t="s">
        <v>72</v>
      </c>
      <c r="F22" s="94" t="str">
        <f>+IF(AND(activity_by&lt;&gt;0,activity_ty=0),"In case expected activity is unknown, please apply the sector growth rate","")</f>
        <v/>
      </c>
    </row>
    <row r="23" spans="2:14" s="15" customFormat="1" ht="21" customHeight="1">
      <c r="B23" s="29" t="s">
        <v>193</v>
      </c>
      <c r="C23" s="148"/>
      <c r="D23" s="94" t="s">
        <v>76</v>
      </c>
      <c r="E23" s="28"/>
    </row>
    <row r="24" spans="2:14" s="15" customFormat="1" ht="21" customHeight="1">
      <c r="B24" s="29" t="s">
        <v>194</v>
      </c>
      <c r="C24" s="201"/>
      <c r="D24" s="94" t="s">
        <v>76</v>
      </c>
      <c r="E24" s="28"/>
    </row>
    <row r="25" spans="2:14" s="15" customFormat="1" ht="20.100000000000001" customHeight="1">
      <c r="B25" s="31"/>
      <c r="C25" s="31"/>
      <c r="D25" s="28"/>
      <c r="F25" s="147"/>
    </row>
    <row r="26" spans="2:14" s="65" customFormat="1" ht="20.100000000000001" customHeight="1" thickBot="1">
      <c r="B26" s="66" t="s">
        <v>206</v>
      </c>
      <c r="C26" s="67"/>
      <c r="D26" s="67"/>
      <c r="E26" s="67"/>
      <c r="F26" s="67"/>
      <c r="G26" s="67"/>
      <c r="H26" s="67"/>
      <c r="I26" s="67"/>
      <c r="J26" s="68"/>
    </row>
    <row r="27" spans="2:14" ht="20.100000000000001" customHeight="1">
      <c r="N27" s="70"/>
    </row>
    <row r="28" spans="2:14" ht="20.100000000000001" customHeight="1">
      <c r="B28" s="107" t="s">
        <v>190</v>
      </c>
      <c r="C28" s="111"/>
      <c r="D28" s="106"/>
      <c r="E28" s="106"/>
      <c r="F28" s="106"/>
      <c r="G28" s="106"/>
      <c r="H28" s="106"/>
      <c r="N28" s="70"/>
    </row>
    <row r="29" spans="2:14" ht="20.100000000000001" customHeight="1">
      <c r="N29" s="70"/>
    </row>
    <row r="30" spans="2:14" ht="20.100000000000001" customHeight="1">
      <c r="B30" s="91" t="s">
        <v>56</v>
      </c>
      <c r="C30" s="71" t="str">
        <f>CONCATENATE(by," - ",ty)</f>
        <v xml:space="preserve"> - </v>
      </c>
      <c r="N30" s="70"/>
    </row>
    <row r="31" spans="2:14" ht="18.75" customHeight="1">
      <c r="B31" s="100" t="str">
        <f>CONCATENATE("Sector growth rate - B2DS"," (units sold)")</f>
        <v>Sector growth rate - B2DS (units sold)</v>
      </c>
      <c r="C31" s="104" t="e">
        <f>(Calculations!D89/Calculations!C89-1)</f>
        <v>#VALUE!</v>
      </c>
      <c r="D31" s="79"/>
      <c r="N31" s="70"/>
    </row>
    <row r="32" spans="2:14" ht="18.75" customHeight="1">
      <c r="N32" s="70"/>
    </row>
    <row r="33" spans="1:13" ht="30">
      <c r="B33" s="255" t="s">
        <v>207</v>
      </c>
      <c r="C33" s="256"/>
      <c r="D33" s="257"/>
      <c r="E33" s="71" t="str">
        <f>CONCATENATE("Base year
",by)</f>
        <v xml:space="preserve">Base year
</v>
      </c>
      <c r="F33" s="71" t="str">
        <f>CONCATENATE("Target year
",ty)</f>
        <v xml:space="preserve">Target year
</v>
      </c>
      <c r="G33" s="71" t="str">
        <f>CONCATENATE("% Reduction 
",by," - ",ty)</f>
        <v xml:space="preserve">% Reduction 
 - </v>
      </c>
      <c r="M33" s="70"/>
    </row>
    <row r="34" spans="1:13" ht="24.95" customHeight="1">
      <c r="B34" s="258" t="str">
        <f>modes</f>
        <v>Vehicle manufacturing (PLDV)</v>
      </c>
      <c r="C34" s="99" t="s">
        <v>195</v>
      </c>
      <c r="D34" s="72" t="s">
        <v>74</v>
      </c>
      <c r="E34" s="73">
        <f>+C23</f>
        <v>0</v>
      </c>
      <c r="F34" s="73" t="e">
        <f>Calculations!D96</f>
        <v>#VALUE!</v>
      </c>
      <c r="G34" s="102" t="e">
        <f>1-F34/E34</f>
        <v>#VALUE!</v>
      </c>
    </row>
    <row r="35" spans="1:13" ht="24.95" customHeight="1">
      <c r="B35" s="259"/>
      <c r="C35" s="99" t="s">
        <v>196</v>
      </c>
      <c r="D35" s="72" t="s">
        <v>74</v>
      </c>
      <c r="E35" s="73">
        <f>+C24</f>
        <v>0</v>
      </c>
      <c r="F35" s="73" t="e">
        <f>+Calculations!D126</f>
        <v>#VALUE!</v>
      </c>
      <c r="G35" s="102" t="e">
        <f>1-F35/E35</f>
        <v>#VALUE!</v>
      </c>
    </row>
    <row r="36" spans="1:13" ht="24.95" customHeight="1">
      <c r="B36" s="260"/>
      <c r="C36" s="99" t="s">
        <v>240</v>
      </c>
      <c r="D36" s="72" t="s">
        <v>74</v>
      </c>
      <c r="E36" s="73">
        <f>+E34+E35</f>
        <v>0</v>
      </c>
      <c r="F36" s="73" t="e">
        <f>+Calculations!D138</f>
        <v>#VALUE!</v>
      </c>
      <c r="G36" s="102" t="e">
        <f>1-F36/E36</f>
        <v>#VALUE!</v>
      </c>
    </row>
    <row r="37" spans="1:13" s="75" customFormat="1" ht="18.75" customHeight="1">
      <c r="B37" s="74"/>
      <c r="C37" s="74"/>
      <c r="G37" s="69"/>
      <c r="H37" s="69"/>
      <c r="I37" s="69"/>
    </row>
    <row r="38" spans="1:13" s="75" customFormat="1" ht="303.75" customHeight="1">
      <c r="B38" s="74"/>
      <c r="C38" s="74"/>
      <c r="G38" s="69"/>
      <c r="H38" s="69"/>
      <c r="I38" s="69"/>
    </row>
    <row r="39" spans="1:13" ht="20.100000000000001" customHeight="1">
      <c r="E39" s="76"/>
    </row>
    <row r="40" spans="1:13" s="65" customFormat="1" ht="9.9499999999999993" customHeight="1">
      <c r="A40" s="77"/>
      <c r="B40" s="77"/>
      <c r="C40" s="77"/>
      <c r="D40" s="77"/>
      <c r="E40" s="77"/>
      <c r="F40" s="77"/>
      <c r="G40" s="77"/>
      <c r="H40" s="77"/>
      <c r="I40" s="77"/>
    </row>
    <row r="41" spans="1:13">
      <c r="F41" s="78"/>
      <c r="G41" s="79"/>
    </row>
    <row r="42" spans="1:13" ht="20.100000000000001" customHeight="1">
      <c r="B42" s="105"/>
      <c r="C42" s="105"/>
      <c r="D42" s="105"/>
      <c r="F42" s="105"/>
      <c r="G42" s="105"/>
      <c r="H42" s="105"/>
      <c r="I42" s="105"/>
    </row>
    <row r="43" spans="1:13" ht="20.100000000000001" customHeight="1">
      <c r="B43" s="105"/>
      <c r="C43" s="105"/>
      <c r="D43" s="105"/>
      <c r="F43" s="105"/>
      <c r="G43" s="105"/>
      <c r="H43" s="105"/>
      <c r="I43" s="105"/>
    </row>
    <row r="44" spans="1:13" ht="20.100000000000001" customHeight="1"/>
    <row r="45" spans="1:13" ht="20.100000000000001" customHeight="1"/>
    <row r="46" spans="1:13" ht="20.100000000000001" customHeight="1"/>
    <row r="47" spans="1:13" ht="20.100000000000001" customHeight="1"/>
    <row r="48" spans="1:13" ht="20.100000000000001" customHeight="1"/>
    <row r="49" spans="3:9" ht="20.100000000000001" customHeight="1">
      <c r="C49" s="212"/>
      <c r="D49" s="212"/>
      <c r="E49" s="212"/>
      <c r="F49" s="212"/>
      <c r="G49" s="212"/>
      <c r="H49" s="212"/>
      <c r="I49" s="212"/>
    </row>
    <row r="50" spans="3:9" ht="20.100000000000001" customHeight="1">
      <c r="C50" s="212"/>
      <c r="D50" s="212"/>
      <c r="E50" s="212"/>
      <c r="F50" s="212"/>
      <c r="G50" s="212"/>
      <c r="H50" s="212"/>
      <c r="I50" s="212"/>
    </row>
    <row r="51" spans="3:9" ht="20.100000000000001" customHeight="1">
      <c r="C51" s="212"/>
      <c r="D51" s="212"/>
      <c r="E51" s="212"/>
      <c r="F51" s="212"/>
      <c r="G51" s="212"/>
      <c r="H51" s="212"/>
      <c r="I51" s="212"/>
    </row>
    <row r="52" spans="3:9" ht="20.100000000000001" customHeight="1">
      <c r="C52" s="212"/>
      <c r="D52" s="212"/>
      <c r="E52" s="212"/>
      <c r="F52" s="212"/>
      <c r="G52" s="212"/>
      <c r="H52" s="212"/>
      <c r="I52" s="212"/>
    </row>
    <row r="53" spans="3:9" ht="20.100000000000001" customHeight="1">
      <c r="C53" s="212"/>
      <c r="D53" s="212"/>
      <c r="E53" s="212"/>
      <c r="F53" s="212"/>
      <c r="G53" s="212"/>
      <c r="H53" s="212"/>
      <c r="I53" s="212"/>
    </row>
  </sheetData>
  <sheetProtection password="AA40" sheet="1" objects="1" scenarios="1"/>
  <mergeCells count="3">
    <mergeCell ref="C4:I4"/>
    <mergeCell ref="B33:D33"/>
    <mergeCell ref="B34:B36"/>
  </mergeCells>
  <conditionalFormatting sqref="B25:C25">
    <cfRule type="expression" dxfId="11" priority="214">
      <formula>C$23=""</formula>
    </cfRule>
  </conditionalFormatting>
  <conditionalFormatting sqref="C34:D34">
    <cfRule type="expression" dxfId="10" priority="24">
      <formula>OR(transport_type="aviation emissions",modes="Freight - Maritime")</formula>
    </cfRule>
  </conditionalFormatting>
  <conditionalFormatting sqref="C20">
    <cfRule type="expression" dxfId="9" priority="20">
      <formula>$B$20=""</formula>
    </cfRule>
  </conditionalFormatting>
  <conditionalFormatting sqref="C21">
    <cfRule type="expression" dxfId="8" priority="8">
      <formula>$D$21="Not required"</formula>
    </cfRule>
    <cfRule type="expression" dxfId="7" priority="15">
      <formula>AND($B$21="",$B$20="")</formula>
    </cfRule>
    <cfRule type="expression" dxfId="6" priority="16">
      <formula>$B$20=""</formula>
    </cfRule>
  </conditionalFormatting>
  <conditionalFormatting sqref="C22">
    <cfRule type="expression" dxfId="5" priority="7">
      <formula>$D$22="Not required"</formula>
    </cfRule>
    <cfRule type="expression" dxfId="4" priority="14">
      <formula>$B$22=""</formula>
    </cfRule>
  </conditionalFormatting>
  <conditionalFormatting sqref="C35:D35">
    <cfRule type="expression" dxfId="3" priority="2">
      <formula>OR(transport_type="aviation emissions",modes="Freight - Maritime")</formula>
    </cfRule>
  </conditionalFormatting>
  <conditionalFormatting sqref="C36:D36">
    <cfRule type="expression" dxfId="2" priority="1">
      <formula>OR(transport_type="aviation emissions",modes="Freight - Maritime")</formula>
    </cfRule>
  </conditionalFormatting>
  <conditionalFormatting sqref="C23:C24">
    <cfRule type="expression" dxfId="1" priority="215">
      <formula>#REF!="Well to Tank emissions in base year"</formula>
    </cfRule>
    <cfRule type="expression" dxfId="0" priority="216">
      <formula>$B$23=""</formula>
    </cfRule>
  </conditionalFormatting>
  <dataValidations count="2">
    <dataValidation type="whole" allowBlank="1" showDropDown="1" showInputMessage="1" showErrorMessage="1" errorTitle="Error" error="Please select a valid target year" sqref="C18">
      <formula1>2020</formula1>
      <formula2>2050</formula2>
    </dataValidation>
    <dataValidation type="whole" allowBlank="1" showInputMessage="1" showErrorMessage="1" errorTitle="Error" error="Please select a valid base year" sqref="C17">
      <formula1>2012</formula1>
      <formula2>2020</formula2>
    </dataValidation>
  </dataValidations>
  <hyperlinks>
    <hyperlink ref="D7" location="Terms" display="Terms of use"/>
    <hyperlink ref="E7" location="Disclaimer" display="Disclaimer"/>
    <hyperlink ref="H7"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BA37"/>
  <sheetViews>
    <sheetView workbookViewId="0">
      <selection activeCell="E15" sqref="E15"/>
    </sheetView>
  </sheetViews>
  <sheetFormatPr baseColWidth="10" defaultRowHeight="15"/>
  <cols>
    <col min="2" max="2" width="43.85546875" bestFit="1" customWidth="1"/>
    <col min="3" max="11" width="13" bestFit="1" customWidth="1"/>
    <col min="23" max="23" width="11.7109375" bestFit="1" customWidth="1"/>
    <col min="28" max="28" width="11.7109375" bestFit="1" customWidth="1"/>
    <col min="33" max="33" width="11.7109375" bestFit="1" customWidth="1"/>
    <col min="38" max="38" width="11.7109375" bestFit="1" customWidth="1"/>
    <col min="43" max="43" width="11.7109375" bestFit="1" customWidth="1"/>
  </cols>
  <sheetData>
    <row r="1" spans="2:53" ht="27" thickBot="1">
      <c r="B1" s="242" t="s">
        <v>58</v>
      </c>
      <c r="C1" s="242"/>
      <c r="D1" s="242"/>
      <c r="E1" s="242"/>
      <c r="F1" s="242"/>
      <c r="G1" s="242"/>
      <c r="H1" s="242"/>
      <c r="I1" s="242"/>
      <c r="J1" s="242"/>
      <c r="K1" s="242"/>
    </row>
    <row r="2" spans="2:53" ht="15.75" thickBot="1">
      <c r="B2" s="116"/>
      <c r="C2" s="117">
        <v>2012</v>
      </c>
      <c r="D2" s="118">
        <v>2015</v>
      </c>
      <c r="E2" s="118">
        <v>2020</v>
      </c>
      <c r="F2" s="118">
        <v>2025</v>
      </c>
      <c r="G2" s="118">
        <v>2030</v>
      </c>
      <c r="H2" s="118">
        <v>2035</v>
      </c>
      <c r="I2" s="118">
        <v>2040</v>
      </c>
      <c r="J2" s="118">
        <v>2045</v>
      </c>
      <c r="K2" s="119">
        <v>2050</v>
      </c>
    </row>
    <row r="3" spans="2:53">
      <c r="B3" s="120" t="s">
        <v>59</v>
      </c>
      <c r="C3" s="121">
        <f>+C30</f>
        <v>78</v>
      </c>
      <c r="D3" s="121">
        <f t="shared" ref="D3:K3" si="0">+D30</f>
        <v>80.045823526645364</v>
      </c>
      <c r="E3" s="121">
        <f t="shared" si="0"/>
        <v>94.57106115216466</v>
      </c>
      <c r="F3" s="121">
        <f t="shared" si="0"/>
        <v>99.932569330988002</v>
      </c>
      <c r="G3" s="121">
        <f t="shared" si="0"/>
        <v>117.53741879765533</v>
      </c>
      <c r="H3" s="121">
        <f t="shared" si="0"/>
        <v>119.73634535884648</v>
      </c>
      <c r="I3" s="121">
        <f t="shared" si="0"/>
        <v>127.50069666917457</v>
      </c>
      <c r="J3" s="121">
        <f t="shared" si="0"/>
        <v>140.89731276845546</v>
      </c>
      <c r="K3" s="121">
        <f t="shared" si="0"/>
        <v>142.69895325319172</v>
      </c>
      <c r="L3" s="142"/>
    </row>
    <row r="4" spans="2:53">
      <c r="B4" s="123" t="s">
        <v>60</v>
      </c>
      <c r="C4" s="124">
        <v>21340633.097842265</v>
      </c>
      <c r="D4" s="125">
        <v>19334401.948442545</v>
      </c>
      <c r="E4" s="125">
        <v>17939617.932071272</v>
      </c>
      <c r="F4" s="125">
        <v>16544833.9157</v>
      </c>
      <c r="G4" s="125">
        <v>15362248.420692373</v>
      </c>
      <c r="H4" s="125">
        <v>14287953.117849408</v>
      </c>
      <c r="I4" s="125">
        <v>13413785.695626784</v>
      </c>
      <c r="J4" s="125">
        <v>12941815.520890523</v>
      </c>
      <c r="K4" s="126">
        <v>12157683.501326595</v>
      </c>
      <c r="L4" s="142">
        <f t="shared" ref="L4:L9" si="1">1-K4/D4</f>
        <v>0.37118905804552493</v>
      </c>
    </row>
    <row r="5" spans="2:53" ht="30.75" thickBot="1">
      <c r="B5" s="127" t="s">
        <v>61</v>
      </c>
      <c r="C5" s="128">
        <f>C4/(C3*1000)</f>
        <v>273.59786022874698</v>
      </c>
      <c r="D5" s="140">
        <f t="shared" ref="D5:K5" si="2">D4/(D3*1000)</f>
        <v>241.5416707157317</v>
      </c>
      <c r="E5" s="128">
        <f t="shared" si="2"/>
        <v>189.69458218520421</v>
      </c>
      <c r="F5" s="128">
        <f t="shared" si="2"/>
        <v>165.55997735734817</v>
      </c>
      <c r="G5" s="128">
        <f t="shared" si="2"/>
        <v>130.70091701723521</v>
      </c>
      <c r="H5" s="128">
        <f t="shared" si="2"/>
        <v>119.32845515727753</v>
      </c>
      <c r="I5" s="128">
        <f t="shared" si="2"/>
        <v>105.2055874677412</v>
      </c>
      <c r="J5" s="128">
        <f t="shared" si="2"/>
        <v>91.852820090036346</v>
      </c>
      <c r="K5" s="128">
        <f t="shared" si="2"/>
        <v>85.198126714742855</v>
      </c>
      <c r="L5" s="142">
        <f t="shared" si="1"/>
        <v>0.64727358860156348</v>
      </c>
    </row>
    <row r="6" spans="2:53">
      <c r="B6" s="123" t="s">
        <v>62</v>
      </c>
      <c r="C6" s="129">
        <v>37659298.433373168</v>
      </c>
      <c r="D6" s="130">
        <v>42649070.091040298</v>
      </c>
      <c r="E6" s="130">
        <v>45590969.724751085</v>
      </c>
      <c r="F6" s="130">
        <v>31203961.355394319</v>
      </c>
      <c r="G6" s="130">
        <v>23653362.358174592</v>
      </c>
      <c r="H6" s="130">
        <v>15128279.621739823</v>
      </c>
      <c r="I6" s="130">
        <v>10238628.851709109</v>
      </c>
      <c r="J6" s="130">
        <v>6411772.6349724391</v>
      </c>
      <c r="K6" s="130">
        <v>4421795.7350892993</v>
      </c>
      <c r="L6" s="142">
        <f t="shared" si="1"/>
        <v>0.89632140335884536</v>
      </c>
    </row>
    <row r="7" spans="2:53" ht="30.75" thickBot="1">
      <c r="B7" s="131" t="s">
        <v>63</v>
      </c>
      <c r="C7" s="128">
        <f>C6/(C3*1000)</f>
        <v>482.8115183765791</v>
      </c>
      <c r="D7" s="128">
        <f t="shared" ref="D7:K7" si="3">D6/(D3*1000)</f>
        <v>532.80818676121714</v>
      </c>
      <c r="E7" s="128">
        <f t="shared" si="3"/>
        <v>482.08161322622044</v>
      </c>
      <c r="F7" s="128">
        <f t="shared" si="3"/>
        <v>312.25016592982075</v>
      </c>
      <c r="G7" s="128">
        <f t="shared" si="3"/>
        <v>201.24112474253548</v>
      </c>
      <c r="H7" s="128">
        <f t="shared" si="3"/>
        <v>126.34659573415902</v>
      </c>
      <c r="I7" s="128">
        <f t="shared" si="3"/>
        <v>80.302532607137266</v>
      </c>
      <c r="J7" s="128">
        <f t="shared" si="3"/>
        <v>45.506706330938101</v>
      </c>
      <c r="K7" s="128">
        <f t="shared" si="3"/>
        <v>30.986882764610595</v>
      </c>
      <c r="L7" s="142">
        <f t="shared" si="1"/>
        <v>0.94184232987677863</v>
      </c>
    </row>
    <row r="8" spans="2:53">
      <c r="B8" s="132" t="s">
        <v>64</v>
      </c>
      <c r="C8" s="133">
        <v>58999931.531215429</v>
      </c>
      <c r="D8" s="134">
        <v>61983472.039482847</v>
      </c>
      <c r="E8" s="134">
        <v>63530587.656822354</v>
      </c>
      <c r="F8" s="134">
        <v>47748795.271094322</v>
      </c>
      <c r="G8" s="134">
        <v>39015610.778866962</v>
      </c>
      <c r="H8" s="134">
        <v>29416232.739589229</v>
      </c>
      <c r="I8" s="134">
        <v>23652414.547335893</v>
      </c>
      <c r="J8" s="134">
        <v>19353588.155862961</v>
      </c>
      <c r="K8" s="135">
        <v>16579479.236415893</v>
      </c>
      <c r="L8" s="142">
        <f t="shared" si="1"/>
        <v>0.7325177391506088</v>
      </c>
    </row>
    <row r="9" spans="2:53" ht="30.75" thickBot="1">
      <c r="B9" s="136" t="s">
        <v>65</v>
      </c>
      <c r="C9" s="137">
        <f>+C5+C7</f>
        <v>756.40937860532608</v>
      </c>
      <c r="D9" s="137">
        <f t="shared" ref="D9:K9" si="4">+D5+D7</f>
        <v>774.34985747694884</v>
      </c>
      <c r="E9" s="137">
        <f t="shared" si="4"/>
        <v>671.77619541142462</v>
      </c>
      <c r="F9" s="137">
        <f t="shared" si="4"/>
        <v>477.8101432871689</v>
      </c>
      <c r="G9" s="137">
        <f t="shared" si="4"/>
        <v>331.94204175977069</v>
      </c>
      <c r="H9" s="137">
        <f t="shared" si="4"/>
        <v>245.67505089143657</v>
      </c>
      <c r="I9" s="137">
        <f t="shared" si="4"/>
        <v>185.50812007487846</v>
      </c>
      <c r="J9" s="137">
        <f t="shared" si="4"/>
        <v>137.35952642097445</v>
      </c>
      <c r="K9" s="137">
        <f t="shared" si="4"/>
        <v>116.18500947935345</v>
      </c>
      <c r="L9" s="142">
        <f t="shared" si="1"/>
        <v>0.84995798945722401</v>
      </c>
      <c r="AU9" s="138"/>
      <c r="AV9" s="138"/>
      <c r="AW9" s="138"/>
      <c r="AX9" s="138"/>
      <c r="AY9" s="138"/>
      <c r="AZ9" s="138"/>
      <c r="BA9" s="138"/>
    </row>
    <row r="10" spans="2:53">
      <c r="AU10" s="138"/>
      <c r="AV10" s="138"/>
      <c r="AW10" s="138"/>
      <c r="AX10" s="138"/>
      <c r="AY10" s="138"/>
      <c r="AZ10" s="138"/>
      <c r="BA10" s="138"/>
    </row>
    <row r="11" spans="2:53">
      <c r="AU11" s="138"/>
      <c r="AV11" s="138"/>
      <c r="AW11" s="138"/>
      <c r="AX11" s="138"/>
      <c r="AY11" s="138"/>
      <c r="AZ11" s="138"/>
      <c r="BA11" s="138"/>
    </row>
    <row r="12" spans="2:53">
      <c r="AU12" s="138"/>
      <c r="AV12" s="138"/>
      <c r="AW12" s="138"/>
      <c r="AX12" s="138"/>
      <c r="AY12" s="138"/>
      <c r="AZ12" s="138"/>
      <c r="BA12" s="138"/>
    </row>
    <row r="13" spans="2:53">
      <c r="B13" s="112" t="s">
        <v>0</v>
      </c>
      <c r="C13" s="113"/>
      <c r="D13" s="114"/>
      <c r="E13" s="113">
        <v>2012</v>
      </c>
      <c r="F13" s="114">
        <v>2013</v>
      </c>
      <c r="G13" s="114">
        <v>2014</v>
      </c>
      <c r="H13" s="113">
        <v>2015</v>
      </c>
      <c r="I13" s="114">
        <v>2016</v>
      </c>
      <c r="J13" s="114">
        <v>2017</v>
      </c>
      <c r="K13" s="114">
        <v>2018</v>
      </c>
      <c r="L13" s="114">
        <v>2019</v>
      </c>
      <c r="M13" s="113">
        <v>2020</v>
      </c>
      <c r="N13" s="114">
        <v>2021</v>
      </c>
      <c r="O13" s="114">
        <v>2022</v>
      </c>
      <c r="P13" s="114">
        <v>2023</v>
      </c>
      <c r="Q13" s="114">
        <v>2024</v>
      </c>
      <c r="R13" s="113">
        <v>2025</v>
      </c>
      <c r="S13" s="114">
        <v>2026</v>
      </c>
      <c r="T13" s="114">
        <v>2027</v>
      </c>
      <c r="U13" s="114">
        <v>2028</v>
      </c>
      <c r="V13" s="114">
        <v>2029</v>
      </c>
      <c r="W13" s="113">
        <v>2030</v>
      </c>
      <c r="X13" s="114">
        <v>2031</v>
      </c>
      <c r="Y13" s="114">
        <v>2032</v>
      </c>
      <c r="Z13" s="114">
        <v>2033</v>
      </c>
      <c r="AA13" s="114">
        <v>2034</v>
      </c>
      <c r="AB13" s="113">
        <v>2035</v>
      </c>
      <c r="AC13" s="114">
        <v>2036</v>
      </c>
      <c r="AD13" s="114">
        <v>2037</v>
      </c>
      <c r="AE13" s="114">
        <v>2038</v>
      </c>
      <c r="AF13" s="114">
        <v>2039</v>
      </c>
      <c r="AG13" s="113">
        <v>2040</v>
      </c>
      <c r="AH13" s="114">
        <v>2041</v>
      </c>
      <c r="AI13" s="114">
        <v>2042</v>
      </c>
      <c r="AJ13" s="114">
        <v>2043</v>
      </c>
      <c r="AK13" s="114">
        <v>2044</v>
      </c>
      <c r="AL13" s="113">
        <v>2045</v>
      </c>
      <c r="AM13" s="114">
        <v>2046</v>
      </c>
      <c r="AN13" s="114">
        <v>2047</v>
      </c>
      <c r="AO13" s="114">
        <v>2048</v>
      </c>
      <c r="AP13" s="114">
        <v>2049</v>
      </c>
      <c r="AQ13" s="113">
        <v>2050</v>
      </c>
      <c r="AR13" s="114"/>
      <c r="AS13" s="114"/>
      <c r="AT13" s="114"/>
      <c r="AU13" s="139"/>
      <c r="AV13" s="139"/>
      <c r="AW13" s="139"/>
      <c r="AX13" s="139"/>
      <c r="AY13" s="139"/>
      <c r="AZ13" s="139"/>
      <c r="BA13" s="139"/>
    </row>
    <row r="14" spans="2:53">
      <c r="B14" s="83" t="str">
        <f t="shared" ref="B14:B20" si="5">+B3</f>
        <v>Global sales  (PLDVs), millions per year</v>
      </c>
      <c r="C14" s="115"/>
      <c r="D14" s="115"/>
      <c r="E14" s="115">
        <f>+C3*10^6</f>
        <v>78000000</v>
      </c>
      <c r="F14" s="115">
        <f>$E14-(($E14-$H14)/(3)*(F$13-$E$13))</f>
        <v>78681941.175548449</v>
      </c>
      <c r="G14" s="115">
        <f>$E14-(($E14-$H14)/(3)*(G$13-$E$13))</f>
        <v>79363882.351096913</v>
      </c>
      <c r="H14" s="115">
        <f>+D3*10^6</f>
        <v>80045823.526645362</v>
      </c>
      <c r="I14" s="115">
        <f t="shared" ref="I14:L20" si="6">$H14-(($H14-$M14)/(5)*(I$13-$H$13))</f>
        <v>82950871.051749215</v>
      </c>
      <c r="J14" s="115">
        <f t="shared" si="6"/>
        <v>85855918.576853082</v>
      </c>
      <c r="K14" s="115">
        <f t="shared" si="6"/>
        <v>88760966.101956934</v>
      </c>
      <c r="L14" s="115">
        <f t="shared" si="6"/>
        <v>91666013.627060801</v>
      </c>
      <c r="M14" s="115">
        <f>+E3*10^6</f>
        <v>94571061.152164653</v>
      </c>
      <c r="N14" s="115">
        <f t="shared" ref="N14:Q20" si="7">$M14-(($M14-$R14)/(5)*(N$13-$M$13))</f>
        <v>95643362.787929326</v>
      </c>
      <c r="O14" s="115">
        <f t="shared" si="7"/>
        <v>96715664.423694</v>
      </c>
      <c r="P14" s="115">
        <f t="shared" si="7"/>
        <v>97787966.059458658</v>
      </c>
      <c r="Q14" s="115">
        <f t="shared" si="7"/>
        <v>98860267.695223331</v>
      </c>
      <c r="R14" s="115">
        <f>+F3*10^6</f>
        <v>99932569.330988005</v>
      </c>
      <c r="S14" s="115">
        <f t="shared" ref="S14:V20" si="8">$R14-(($R14-$W14)/(5)*(S$13-$R$13))</f>
        <v>103453539.22432147</v>
      </c>
      <c r="T14" s="115">
        <f t="shared" si="8"/>
        <v>106974509.11765493</v>
      </c>
      <c r="U14" s="115">
        <f t="shared" si="8"/>
        <v>110495479.0109884</v>
      </c>
      <c r="V14" s="115">
        <f t="shared" si="8"/>
        <v>114016448.90432186</v>
      </c>
      <c r="W14" s="115">
        <f>+G3*10^6</f>
        <v>117537418.79765533</v>
      </c>
      <c r="X14" s="115">
        <f t="shared" ref="X14:AA20" si="9">$W14-(($W14-$AB14)/(5)*(X$13-$W$13))</f>
        <v>117977204.10989356</v>
      </c>
      <c r="Y14" s="115">
        <f t="shared" si="9"/>
        <v>118416989.42213179</v>
      </c>
      <c r="Z14" s="115">
        <f t="shared" si="9"/>
        <v>118856774.73437001</v>
      </c>
      <c r="AA14" s="115">
        <f t="shared" si="9"/>
        <v>119296560.04660824</v>
      </c>
      <c r="AB14" s="115">
        <f>+H3*10^6</f>
        <v>119736345.35884647</v>
      </c>
      <c r="AC14" s="115">
        <f t="shared" ref="AC14:AF20" si="10">$AB14-(($AB14-$AG14)/(5)*(AC$13-$AB$13))</f>
        <v>121289215.62091209</v>
      </c>
      <c r="AD14" s="115">
        <f t="shared" si="10"/>
        <v>122842085.88297771</v>
      </c>
      <c r="AE14" s="115">
        <f t="shared" si="10"/>
        <v>124394956.14504333</v>
      </c>
      <c r="AF14" s="115">
        <f t="shared" si="10"/>
        <v>125947826.40710895</v>
      </c>
      <c r="AG14" s="115">
        <f>+I3*10^6</f>
        <v>127500696.66917457</v>
      </c>
      <c r="AH14" s="115">
        <f t="shared" ref="AH14:AK20" si="11">$AG14-(($AG14-$AL14)/(5)*(AH$13-$AG$13))</f>
        <v>130180019.88903075</v>
      </c>
      <c r="AI14" s="115">
        <f t="shared" si="11"/>
        <v>132859343.10888693</v>
      </c>
      <c r="AJ14" s="115">
        <f t="shared" si="11"/>
        <v>135538666.3287431</v>
      </c>
      <c r="AK14" s="115">
        <f t="shared" si="11"/>
        <v>138217989.5485993</v>
      </c>
      <c r="AL14" s="115">
        <f>+J3*10^6</f>
        <v>140897312.76845548</v>
      </c>
      <c r="AM14" s="115">
        <f t="shared" ref="AM14:AP20" si="12">$AL14-(($AL14-$AQ14)/(5)*(AM$13-$AL$13))</f>
        <v>141257640.86540273</v>
      </c>
      <c r="AN14" s="115">
        <f t="shared" si="12"/>
        <v>141617968.96234998</v>
      </c>
      <c r="AO14" s="115">
        <f t="shared" si="12"/>
        <v>141978297.0592972</v>
      </c>
      <c r="AP14" s="115">
        <f t="shared" si="12"/>
        <v>142338625.15624446</v>
      </c>
      <c r="AQ14" s="115">
        <f>+K3*10^6</f>
        <v>142698953.25319171</v>
      </c>
      <c r="AR14" s="115" t="s">
        <v>73</v>
      </c>
      <c r="AS14" s="115"/>
      <c r="AT14" s="115"/>
      <c r="AU14" s="8"/>
      <c r="AV14" s="8"/>
      <c r="AW14" s="8"/>
      <c r="AX14" s="8"/>
      <c r="AY14" s="8"/>
      <c r="AZ14" s="8"/>
      <c r="BA14" s="8"/>
    </row>
    <row r="15" spans="2:53">
      <c r="B15" s="83" t="str">
        <f t="shared" si="5"/>
        <v>SCOPE 1 Global emissions of OEM (t CO2)</v>
      </c>
      <c r="C15" s="115"/>
      <c r="D15" s="115"/>
      <c r="E15" s="115">
        <f t="shared" ref="E15:E20" si="13">+C4</f>
        <v>21340633.097842265</v>
      </c>
      <c r="F15" s="115">
        <f t="shared" ref="F15:G20" si="14">$E15-(($E15-$H15)/(3)*(F$13-$E$13))</f>
        <v>20671889.381375693</v>
      </c>
      <c r="G15" s="115">
        <f t="shared" si="14"/>
        <v>20003145.664909117</v>
      </c>
      <c r="H15" s="115">
        <f t="shared" ref="H15:H20" si="15">+D4</f>
        <v>19334401.948442545</v>
      </c>
      <c r="I15" s="115">
        <f t="shared" si="6"/>
        <v>19055445.14516829</v>
      </c>
      <c r="J15" s="115">
        <f t="shared" si="6"/>
        <v>18776488.341894034</v>
      </c>
      <c r="K15" s="115">
        <f t="shared" si="6"/>
        <v>18497531.538619783</v>
      </c>
      <c r="L15" s="115">
        <f t="shared" si="6"/>
        <v>18218574.735345528</v>
      </c>
      <c r="M15" s="115">
        <f t="shared" ref="M15:M20" si="16">+E4</f>
        <v>17939617.932071272</v>
      </c>
      <c r="N15" s="115">
        <f t="shared" si="7"/>
        <v>17660661.128797017</v>
      </c>
      <c r="O15" s="115">
        <f t="shared" si="7"/>
        <v>17381704.325522762</v>
      </c>
      <c r="P15" s="115">
        <f t="shared" si="7"/>
        <v>17102747.52224851</v>
      </c>
      <c r="Q15" s="115">
        <f t="shared" si="7"/>
        <v>16823790.718974255</v>
      </c>
      <c r="R15" s="115">
        <f t="shared" ref="R15:R20" si="17">+F4</f>
        <v>16544833.9157</v>
      </c>
      <c r="S15" s="115">
        <f t="shared" si="8"/>
        <v>16308316.816698475</v>
      </c>
      <c r="T15" s="115">
        <f t="shared" si="8"/>
        <v>16071799.71769695</v>
      </c>
      <c r="U15" s="115">
        <f t="shared" si="8"/>
        <v>15835282.618695423</v>
      </c>
      <c r="V15" s="115">
        <f t="shared" si="8"/>
        <v>15598765.519693898</v>
      </c>
      <c r="W15" s="115">
        <f t="shared" ref="W15:W20" si="18">+G4</f>
        <v>15362248.420692373</v>
      </c>
      <c r="X15" s="115">
        <f t="shared" si="9"/>
        <v>15147389.36012378</v>
      </c>
      <c r="Y15" s="115">
        <f t="shared" si="9"/>
        <v>14932530.299555186</v>
      </c>
      <c r="Z15" s="115">
        <f t="shared" si="9"/>
        <v>14717671.238986595</v>
      </c>
      <c r="AA15" s="115">
        <f t="shared" si="9"/>
        <v>14502812.178418001</v>
      </c>
      <c r="AB15" s="115">
        <f t="shared" ref="AB15:AB20" si="19">+H4</f>
        <v>14287953.117849408</v>
      </c>
      <c r="AC15" s="115">
        <f t="shared" si="10"/>
        <v>14113119.633404883</v>
      </c>
      <c r="AD15" s="115">
        <f t="shared" si="10"/>
        <v>13938286.148960358</v>
      </c>
      <c r="AE15" s="115">
        <f t="shared" si="10"/>
        <v>13763452.664515834</v>
      </c>
      <c r="AF15" s="115">
        <f t="shared" si="10"/>
        <v>13588619.180071309</v>
      </c>
      <c r="AG15" s="115">
        <f t="shared" ref="AG15:AG20" si="20">+I4</f>
        <v>13413785.695626784</v>
      </c>
      <c r="AH15" s="115">
        <f t="shared" si="11"/>
        <v>13319391.660679532</v>
      </c>
      <c r="AI15" s="115">
        <f t="shared" si="11"/>
        <v>13224997.62573228</v>
      </c>
      <c r="AJ15" s="115">
        <f t="shared" si="11"/>
        <v>13130603.590785027</v>
      </c>
      <c r="AK15" s="115">
        <f t="shared" si="11"/>
        <v>13036209.555837775</v>
      </c>
      <c r="AL15" s="115">
        <f t="shared" ref="AL15:AL20" si="21">+J4</f>
        <v>12941815.520890523</v>
      </c>
      <c r="AM15" s="115">
        <f t="shared" si="12"/>
        <v>12784989.116977736</v>
      </c>
      <c r="AN15" s="115">
        <f t="shared" si="12"/>
        <v>12628162.713064952</v>
      </c>
      <c r="AO15" s="115">
        <f t="shared" si="12"/>
        <v>12471336.309152165</v>
      </c>
      <c r="AP15" s="115">
        <f t="shared" si="12"/>
        <v>12314509.905239381</v>
      </c>
      <c r="AQ15" s="115">
        <f t="shared" ref="AQ15:AQ20" si="22">+K4</f>
        <v>12157683.501326595</v>
      </c>
      <c r="AR15" t="s">
        <v>75</v>
      </c>
      <c r="AU15" s="138"/>
      <c r="AV15" s="138"/>
      <c r="AW15" s="138"/>
      <c r="AX15" s="138"/>
      <c r="AY15" s="138"/>
      <c r="AZ15" s="138"/>
      <c r="BA15" s="138"/>
    </row>
    <row r="16" spans="2:53">
      <c r="B16" s="83" t="str">
        <f t="shared" si="5"/>
        <v>SCOPE 1 CO2 intensity OEM average  (kg CO2/car)</v>
      </c>
      <c r="C16" s="115"/>
      <c r="D16" s="115"/>
      <c r="E16" s="115">
        <f t="shared" si="13"/>
        <v>273.59786022874698</v>
      </c>
      <c r="F16" s="115">
        <f t="shared" si="14"/>
        <v>262.91246372440855</v>
      </c>
      <c r="G16" s="115">
        <f t="shared" si="14"/>
        <v>252.22706722007013</v>
      </c>
      <c r="H16" s="115">
        <f t="shared" si="15"/>
        <v>241.5416707157317</v>
      </c>
      <c r="I16" s="115">
        <f t="shared" si="6"/>
        <v>231.17225300962619</v>
      </c>
      <c r="J16" s="115">
        <f t="shared" si="6"/>
        <v>220.80283530352071</v>
      </c>
      <c r="K16" s="115">
        <f t="shared" si="6"/>
        <v>210.4334175974152</v>
      </c>
      <c r="L16" s="115">
        <f t="shared" si="6"/>
        <v>200.06399989130972</v>
      </c>
      <c r="M16" s="115">
        <f t="shared" si="16"/>
        <v>189.69458218520421</v>
      </c>
      <c r="N16" s="115">
        <f t="shared" si="7"/>
        <v>184.86766121963299</v>
      </c>
      <c r="O16" s="115">
        <f t="shared" si="7"/>
        <v>180.0407402540618</v>
      </c>
      <c r="P16" s="115">
        <f t="shared" si="7"/>
        <v>175.21381928849058</v>
      </c>
      <c r="Q16" s="115">
        <f t="shared" si="7"/>
        <v>170.38689832291939</v>
      </c>
      <c r="R16" s="115">
        <f t="shared" si="17"/>
        <v>165.55997735734817</v>
      </c>
      <c r="S16" s="115">
        <f t="shared" si="8"/>
        <v>158.58816528932559</v>
      </c>
      <c r="T16" s="115">
        <f t="shared" si="8"/>
        <v>151.616353221303</v>
      </c>
      <c r="U16" s="115">
        <f t="shared" si="8"/>
        <v>144.64454115328039</v>
      </c>
      <c r="V16" s="115">
        <f t="shared" si="8"/>
        <v>137.6727290852578</v>
      </c>
      <c r="W16" s="115">
        <f t="shared" si="18"/>
        <v>130.70091701723521</v>
      </c>
      <c r="X16" s="115">
        <f t="shared" si="9"/>
        <v>128.42642464524369</v>
      </c>
      <c r="Y16" s="115">
        <f t="shared" si="9"/>
        <v>126.15193227325214</v>
      </c>
      <c r="Z16" s="115">
        <f t="shared" si="9"/>
        <v>123.8774399012606</v>
      </c>
      <c r="AA16" s="115">
        <f t="shared" si="9"/>
        <v>121.60294752926907</v>
      </c>
      <c r="AB16" s="115">
        <f t="shared" si="19"/>
        <v>119.32845515727753</v>
      </c>
      <c r="AC16" s="115">
        <f t="shared" si="10"/>
        <v>116.50388161937026</v>
      </c>
      <c r="AD16" s="115">
        <f t="shared" si="10"/>
        <v>113.67930808146299</v>
      </c>
      <c r="AE16" s="115">
        <f t="shared" si="10"/>
        <v>110.85473454355574</v>
      </c>
      <c r="AF16" s="115">
        <f t="shared" si="10"/>
        <v>108.03016100564847</v>
      </c>
      <c r="AG16" s="115">
        <f t="shared" si="20"/>
        <v>105.2055874677412</v>
      </c>
      <c r="AH16" s="115">
        <f t="shared" si="11"/>
        <v>102.53503399220023</v>
      </c>
      <c r="AI16" s="115">
        <f t="shared" si="11"/>
        <v>99.864480516659256</v>
      </c>
      <c r="AJ16" s="115">
        <f t="shared" si="11"/>
        <v>97.193927041118286</v>
      </c>
      <c r="AK16" s="115">
        <f t="shared" si="11"/>
        <v>94.523373565577316</v>
      </c>
      <c r="AL16" s="115">
        <f t="shared" si="21"/>
        <v>91.852820090036346</v>
      </c>
      <c r="AM16" s="115">
        <f t="shared" si="12"/>
        <v>90.521881414977642</v>
      </c>
      <c r="AN16" s="115">
        <f t="shared" si="12"/>
        <v>89.190942739918952</v>
      </c>
      <c r="AO16" s="115">
        <f t="shared" si="12"/>
        <v>87.860004064860249</v>
      </c>
      <c r="AP16" s="115">
        <f t="shared" si="12"/>
        <v>86.529065389801559</v>
      </c>
      <c r="AQ16" s="115">
        <f t="shared" si="22"/>
        <v>85.198126714742855</v>
      </c>
      <c r="AR16" t="s">
        <v>74</v>
      </c>
      <c r="AU16" s="138"/>
      <c r="AV16" s="138"/>
      <c r="AW16" s="138"/>
      <c r="AX16" s="138"/>
      <c r="AY16" s="138"/>
      <c r="AZ16" s="138"/>
      <c r="BA16" s="138"/>
    </row>
    <row r="17" spans="2:53">
      <c r="B17" s="83" t="str">
        <f t="shared" si="5"/>
        <v xml:space="preserve">SCOPE 2 Global emissions CO2 of OEM (t CO2) </v>
      </c>
      <c r="C17" s="115"/>
      <c r="D17" s="115"/>
      <c r="E17" s="115">
        <f t="shared" si="13"/>
        <v>37659298.433373168</v>
      </c>
      <c r="F17" s="115">
        <f t="shared" si="14"/>
        <v>39322555.652595542</v>
      </c>
      <c r="G17" s="115">
        <f t="shared" si="14"/>
        <v>40985812.871817924</v>
      </c>
      <c r="H17" s="115">
        <f t="shared" si="15"/>
        <v>42649070.091040298</v>
      </c>
      <c r="I17" s="115">
        <f t="shared" si="6"/>
        <v>43237450.017782457</v>
      </c>
      <c r="J17" s="115">
        <f t="shared" si="6"/>
        <v>43825829.944524616</v>
      </c>
      <c r="K17" s="115">
        <f t="shared" si="6"/>
        <v>44414209.871266767</v>
      </c>
      <c r="L17" s="115">
        <f t="shared" si="6"/>
        <v>45002589.798008926</v>
      </c>
      <c r="M17" s="115">
        <f t="shared" si="16"/>
        <v>45590969.724751085</v>
      </c>
      <c r="N17" s="115">
        <f t="shared" si="7"/>
        <v>42713568.050879732</v>
      </c>
      <c r="O17" s="115">
        <f t="shared" si="7"/>
        <v>39836166.377008379</v>
      </c>
      <c r="P17" s="115">
        <f t="shared" si="7"/>
        <v>36958764.703137025</v>
      </c>
      <c r="Q17" s="115">
        <f t="shared" si="7"/>
        <v>34081363.029265672</v>
      </c>
      <c r="R17" s="115">
        <f t="shared" si="17"/>
        <v>31203961.355394319</v>
      </c>
      <c r="S17" s="115">
        <f t="shared" si="8"/>
        <v>29693841.555950373</v>
      </c>
      <c r="T17" s="115">
        <f t="shared" si="8"/>
        <v>28183721.756506428</v>
      </c>
      <c r="U17" s="115">
        <f t="shared" si="8"/>
        <v>26673601.957062483</v>
      </c>
      <c r="V17" s="115">
        <f t="shared" si="8"/>
        <v>25163482.157618538</v>
      </c>
      <c r="W17" s="115">
        <f t="shared" si="18"/>
        <v>23653362.358174592</v>
      </c>
      <c r="X17" s="115">
        <f t="shared" si="9"/>
        <v>21948345.810887638</v>
      </c>
      <c r="Y17" s="115">
        <f t="shared" si="9"/>
        <v>20243329.263600685</v>
      </c>
      <c r="Z17" s="115">
        <f t="shared" si="9"/>
        <v>18538312.716313731</v>
      </c>
      <c r="AA17" s="115">
        <f t="shared" si="9"/>
        <v>16833296.169026777</v>
      </c>
      <c r="AB17" s="115">
        <f t="shared" si="19"/>
        <v>15128279.621739823</v>
      </c>
      <c r="AC17" s="115">
        <f t="shared" si="10"/>
        <v>14150349.467733681</v>
      </c>
      <c r="AD17" s="115">
        <f t="shared" si="10"/>
        <v>13172419.313727537</v>
      </c>
      <c r="AE17" s="115">
        <f t="shared" si="10"/>
        <v>12194489.159721395</v>
      </c>
      <c r="AF17" s="115">
        <f t="shared" si="10"/>
        <v>11216559.005715251</v>
      </c>
      <c r="AG17" s="115">
        <f t="shared" si="20"/>
        <v>10238628.851709109</v>
      </c>
      <c r="AH17" s="115">
        <f t="shared" si="11"/>
        <v>9473257.6083617751</v>
      </c>
      <c r="AI17" s="115">
        <f t="shared" si="11"/>
        <v>8707886.3650144413</v>
      </c>
      <c r="AJ17" s="115">
        <f t="shared" si="11"/>
        <v>7942515.1216671066</v>
      </c>
      <c r="AK17" s="115">
        <f t="shared" si="11"/>
        <v>7177143.8783197729</v>
      </c>
      <c r="AL17" s="115">
        <f t="shared" si="21"/>
        <v>6411772.6349724391</v>
      </c>
      <c r="AM17" s="115">
        <f t="shared" si="12"/>
        <v>6013777.2549958108</v>
      </c>
      <c r="AN17" s="115">
        <f t="shared" si="12"/>
        <v>5615781.8750191834</v>
      </c>
      <c r="AO17" s="115">
        <f t="shared" si="12"/>
        <v>5217786.495042555</v>
      </c>
      <c r="AP17" s="115">
        <f t="shared" si="12"/>
        <v>4819791.1150659267</v>
      </c>
      <c r="AQ17" s="115">
        <f t="shared" si="22"/>
        <v>4421795.7350892993</v>
      </c>
      <c r="AR17" t="s">
        <v>75</v>
      </c>
      <c r="AU17" s="138"/>
      <c r="AV17" s="138"/>
      <c r="AW17" s="138"/>
      <c r="AX17" s="138"/>
      <c r="AY17" s="138"/>
      <c r="AZ17" s="138"/>
      <c r="BA17" s="138"/>
    </row>
    <row r="18" spans="2:53">
      <c r="B18" s="83" t="str">
        <f t="shared" si="5"/>
        <v>SCOPE 2 CO2 intensity OEM average (kg CO2/car)</v>
      </c>
      <c r="C18" s="115"/>
      <c r="D18" s="115"/>
      <c r="E18" s="115">
        <f t="shared" si="13"/>
        <v>482.8115183765791</v>
      </c>
      <c r="F18" s="115">
        <f t="shared" si="14"/>
        <v>499.4770745047918</v>
      </c>
      <c r="G18" s="115">
        <f t="shared" si="14"/>
        <v>516.1426306330045</v>
      </c>
      <c r="H18" s="115">
        <f t="shared" si="15"/>
        <v>532.80818676121714</v>
      </c>
      <c r="I18" s="115">
        <f t="shared" si="6"/>
        <v>522.66287205421781</v>
      </c>
      <c r="J18" s="115">
        <f t="shared" si="6"/>
        <v>512.51755734721849</v>
      </c>
      <c r="K18" s="115">
        <f t="shared" si="6"/>
        <v>502.3722426402191</v>
      </c>
      <c r="L18" s="115">
        <f t="shared" si="6"/>
        <v>492.22692793321977</v>
      </c>
      <c r="M18" s="115">
        <f t="shared" si="16"/>
        <v>482.08161322622044</v>
      </c>
      <c r="N18" s="115">
        <f t="shared" si="7"/>
        <v>448.11532376694049</v>
      </c>
      <c r="O18" s="115">
        <f t="shared" si="7"/>
        <v>414.1490343076606</v>
      </c>
      <c r="P18" s="115">
        <f t="shared" si="7"/>
        <v>380.18274484838065</v>
      </c>
      <c r="Q18" s="115">
        <f t="shared" si="7"/>
        <v>346.2164553891007</v>
      </c>
      <c r="R18" s="115">
        <f t="shared" si="17"/>
        <v>312.25016592982075</v>
      </c>
      <c r="S18" s="115">
        <f t="shared" si="8"/>
        <v>290.04835769236371</v>
      </c>
      <c r="T18" s="115">
        <f t="shared" si="8"/>
        <v>267.84654945490666</v>
      </c>
      <c r="U18" s="115">
        <f t="shared" si="8"/>
        <v>245.64474121744959</v>
      </c>
      <c r="V18" s="115">
        <f t="shared" si="8"/>
        <v>223.44293297999252</v>
      </c>
      <c r="W18" s="115">
        <f t="shared" si="18"/>
        <v>201.24112474253548</v>
      </c>
      <c r="X18" s="115">
        <f t="shared" si="9"/>
        <v>186.26221894086018</v>
      </c>
      <c r="Y18" s="115">
        <f t="shared" si="9"/>
        <v>171.28331313918488</v>
      </c>
      <c r="Z18" s="115">
        <f t="shared" si="9"/>
        <v>156.30440733750959</v>
      </c>
      <c r="AA18" s="115">
        <f t="shared" si="9"/>
        <v>141.32550153583432</v>
      </c>
      <c r="AB18" s="115">
        <f t="shared" si="19"/>
        <v>126.34659573415902</v>
      </c>
      <c r="AC18" s="115">
        <f t="shared" si="10"/>
        <v>117.13778310875468</v>
      </c>
      <c r="AD18" s="115">
        <f t="shared" si="10"/>
        <v>107.92897048335033</v>
      </c>
      <c r="AE18" s="115">
        <f t="shared" si="10"/>
        <v>98.720157857945964</v>
      </c>
      <c r="AF18" s="115">
        <f t="shared" si="10"/>
        <v>89.511345232541615</v>
      </c>
      <c r="AG18" s="115">
        <f t="shared" si="20"/>
        <v>80.302532607137266</v>
      </c>
      <c r="AH18" s="115">
        <f t="shared" si="11"/>
        <v>73.343367351897427</v>
      </c>
      <c r="AI18" s="115">
        <f t="shared" si="11"/>
        <v>66.384202096657603</v>
      </c>
      <c r="AJ18" s="115">
        <f t="shared" si="11"/>
        <v>59.425036841417764</v>
      </c>
      <c r="AK18" s="115">
        <f t="shared" si="11"/>
        <v>52.465871586177933</v>
      </c>
      <c r="AL18" s="115">
        <f t="shared" si="21"/>
        <v>45.506706330938101</v>
      </c>
      <c r="AM18" s="115">
        <f t="shared" si="12"/>
        <v>42.602741617672599</v>
      </c>
      <c r="AN18" s="115">
        <f t="shared" si="12"/>
        <v>39.698776904407097</v>
      </c>
      <c r="AO18" s="115">
        <f t="shared" si="12"/>
        <v>36.794812191141602</v>
      </c>
      <c r="AP18" s="115">
        <f t="shared" si="12"/>
        <v>33.890847477876093</v>
      </c>
      <c r="AQ18" s="115">
        <f t="shared" si="22"/>
        <v>30.986882764610595</v>
      </c>
      <c r="AR18" t="s">
        <v>74</v>
      </c>
      <c r="AU18" s="138"/>
      <c r="AV18" s="138"/>
      <c r="AW18" s="138"/>
      <c r="AX18" s="138"/>
      <c r="AY18" s="138"/>
      <c r="AZ18" s="138"/>
      <c r="BA18" s="138"/>
    </row>
    <row r="19" spans="2:53">
      <c r="B19" s="83" t="str">
        <f t="shared" si="5"/>
        <v xml:space="preserve">SCOPE 1+2 Global emissions CO2 of OEM (t CO2) </v>
      </c>
      <c r="C19" s="115"/>
      <c r="D19" s="115"/>
      <c r="E19" s="115">
        <f t="shared" si="13"/>
        <v>58999931.531215429</v>
      </c>
      <c r="F19" s="115">
        <f t="shared" si="14"/>
        <v>59994445.033971235</v>
      </c>
      <c r="G19" s="115">
        <f t="shared" si="14"/>
        <v>60988958.536727041</v>
      </c>
      <c r="H19" s="115">
        <f t="shared" si="15"/>
        <v>61983472.039482847</v>
      </c>
      <c r="I19" s="115">
        <f t="shared" si="6"/>
        <v>62292895.162950747</v>
      </c>
      <c r="J19" s="115">
        <f t="shared" si="6"/>
        <v>62602318.286418647</v>
      </c>
      <c r="K19" s="115">
        <f t="shared" si="6"/>
        <v>62911741.409886554</v>
      </c>
      <c r="L19" s="115">
        <f t="shared" si="6"/>
        <v>63221164.533354454</v>
      </c>
      <c r="M19" s="115">
        <f t="shared" si="16"/>
        <v>63530587.656822354</v>
      </c>
      <c r="N19" s="115">
        <f t="shared" si="7"/>
        <v>60374229.179676749</v>
      </c>
      <c r="O19" s="115">
        <f t="shared" si="7"/>
        <v>57217870.702531144</v>
      </c>
      <c r="P19" s="115">
        <f t="shared" si="7"/>
        <v>54061512.225385532</v>
      </c>
      <c r="Q19" s="115">
        <f t="shared" si="7"/>
        <v>50905153.748239927</v>
      </c>
      <c r="R19" s="115">
        <f t="shared" si="17"/>
        <v>47748795.271094322</v>
      </c>
      <c r="S19" s="115">
        <f t="shared" si="8"/>
        <v>46002158.37264885</v>
      </c>
      <c r="T19" s="115">
        <f t="shared" si="8"/>
        <v>44255521.474203378</v>
      </c>
      <c r="U19" s="115">
        <f t="shared" si="8"/>
        <v>42508884.575757906</v>
      </c>
      <c r="V19" s="115">
        <f t="shared" si="8"/>
        <v>40762247.677312434</v>
      </c>
      <c r="W19" s="115">
        <f t="shared" si="18"/>
        <v>39015610.778866962</v>
      </c>
      <c r="X19" s="115">
        <f t="shared" si="9"/>
        <v>37095735.171011418</v>
      </c>
      <c r="Y19" s="115">
        <f t="shared" si="9"/>
        <v>35175859.563155867</v>
      </c>
      <c r="Z19" s="115">
        <f t="shared" si="9"/>
        <v>33255983.955300324</v>
      </c>
      <c r="AA19" s="115">
        <f t="shared" si="9"/>
        <v>31336108.347444776</v>
      </c>
      <c r="AB19" s="115">
        <f t="shared" si="19"/>
        <v>29416232.739589229</v>
      </c>
      <c r="AC19" s="115">
        <f t="shared" si="10"/>
        <v>28263469.101138562</v>
      </c>
      <c r="AD19" s="115">
        <f t="shared" si="10"/>
        <v>27110705.462687895</v>
      </c>
      <c r="AE19" s="115">
        <f t="shared" si="10"/>
        <v>25957941.824237227</v>
      </c>
      <c r="AF19" s="115">
        <f t="shared" si="10"/>
        <v>24805178.18578656</v>
      </c>
      <c r="AG19" s="115">
        <f t="shared" si="20"/>
        <v>23652414.547335893</v>
      </c>
      <c r="AH19" s="115">
        <f t="shared" si="11"/>
        <v>22792649.269041307</v>
      </c>
      <c r="AI19" s="115">
        <f t="shared" si="11"/>
        <v>21932883.990746722</v>
      </c>
      <c r="AJ19" s="115">
        <f t="shared" si="11"/>
        <v>21073118.712452136</v>
      </c>
      <c r="AK19" s="115">
        <f t="shared" si="11"/>
        <v>20213353.434157547</v>
      </c>
      <c r="AL19" s="115">
        <f t="shared" si="21"/>
        <v>19353588.155862961</v>
      </c>
      <c r="AM19" s="115">
        <f t="shared" si="12"/>
        <v>18798766.371973548</v>
      </c>
      <c r="AN19" s="115">
        <f t="shared" si="12"/>
        <v>18243944.588084135</v>
      </c>
      <c r="AO19" s="115">
        <f t="shared" si="12"/>
        <v>17689122.804194719</v>
      </c>
      <c r="AP19" s="115">
        <f t="shared" si="12"/>
        <v>17134301.020305306</v>
      </c>
      <c r="AQ19" s="115">
        <f t="shared" si="22"/>
        <v>16579479.236415893</v>
      </c>
      <c r="AR19" t="s">
        <v>75</v>
      </c>
      <c r="AU19" s="138"/>
      <c r="AV19" s="138"/>
      <c r="AW19" s="138"/>
      <c r="AX19" s="138"/>
      <c r="AY19" s="138"/>
      <c r="AZ19" s="138"/>
      <c r="BA19" s="138"/>
    </row>
    <row r="20" spans="2:53">
      <c r="B20" s="83" t="str">
        <f t="shared" si="5"/>
        <v>SCOPE 1+2 CO2 intensity OEM average (kg CO2/car)</v>
      </c>
      <c r="C20" s="115"/>
      <c r="D20" s="115"/>
      <c r="E20" s="115">
        <f t="shared" si="13"/>
        <v>756.40937860532608</v>
      </c>
      <c r="F20" s="115">
        <f t="shared" si="14"/>
        <v>762.3895382292003</v>
      </c>
      <c r="G20" s="115">
        <f t="shared" si="14"/>
        <v>768.36969785307463</v>
      </c>
      <c r="H20" s="115">
        <f t="shared" si="15"/>
        <v>774.34985747694884</v>
      </c>
      <c r="I20" s="115">
        <f t="shared" si="6"/>
        <v>753.83512506384398</v>
      </c>
      <c r="J20" s="115">
        <f t="shared" si="6"/>
        <v>733.32039265073911</v>
      </c>
      <c r="K20" s="115">
        <f t="shared" si="6"/>
        <v>712.80566023763436</v>
      </c>
      <c r="L20" s="115">
        <f t="shared" si="6"/>
        <v>692.29092782452949</v>
      </c>
      <c r="M20" s="115">
        <f t="shared" si="16"/>
        <v>671.77619541142462</v>
      </c>
      <c r="N20" s="115">
        <f t="shared" si="7"/>
        <v>632.98298498657346</v>
      </c>
      <c r="O20" s="115">
        <f t="shared" si="7"/>
        <v>594.18977456172229</v>
      </c>
      <c r="P20" s="115">
        <f t="shared" si="7"/>
        <v>555.39656413687112</v>
      </c>
      <c r="Q20" s="115">
        <f t="shared" si="7"/>
        <v>516.60335371202007</v>
      </c>
      <c r="R20" s="115">
        <f t="shared" si="17"/>
        <v>477.8101432871689</v>
      </c>
      <c r="S20" s="115">
        <f t="shared" si="8"/>
        <v>448.63652298168927</v>
      </c>
      <c r="T20" s="115">
        <f t="shared" si="8"/>
        <v>419.46290267620964</v>
      </c>
      <c r="U20" s="115">
        <f t="shared" si="8"/>
        <v>390.28928237073001</v>
      </c>
      <c r="V20" s="115">
        <f t="shared" si="8"/>
        <v>361.11566206525032</v>
      </c>
      <c r="W20" s="115">
        <f t="shared" si="18"/>
        <v>331.94204175977069</v>
      </c>
      <c r="X20" s="115">
        <f t="shared" si="9"/>
        <v>314.68864358610386</v>
      </c>
      <c r="Y20" s="115">
        <f t="shared" si="9"/>
        <v>297.43524541243704</v>
      </c>
      <c r="Z20" s="115">
        <f t="shared" si="9"/>
        <v>280.18184723877022</v>
      </c>
      <c r="AA20" s="115">
        <f t="shared" si="9"/>
        <v>262.92844906510339</v>
      </c>
      <c r="AB20" s="115">
        <f t="shared" si="19"/>
        <v>245.67505089143657</v>
      </c>
      <c r="AC20" s="115">
        <f t="shared" si="10"/>
        <v>233.64166472812494</v>
      </c>
      <c r="AD20" s="115">
        <f t="shared" si="10"/>
        <v>221.60827856481333</v>
      </c>
      <c r="AE20" s="115">
        <f t="shared" si="10"/>
        <v>209.5748924015017</v>
      </c>
      <c r="AF20" s="115">
        <f t="shared" si="10"/>
        <v>197.5415062381901</v>
      </c>
      <c r="AG20" s="115">
        <f t="shared" si="20"/>
        <v>185.50812007487846</v>
      </c>
      <c r="AH20" s="115">
        <f t="shared" si="11"/>
        <v>175.87840134409765</v>
      </c>
      <c r="AI20" s="115">
        <f t="shared" si="11"/>
        <v>166.24868261331684</v>
      </c>
      <c r="AJ20" s="115">
        <f t="shared" si="11"/>
        <v>156.61896388253604</v>
      </c>
      <c r="AK20" s="115">
        <f t="shared" si="11"/>
        <v>146.98924515175526</v>
      </c>
      <c r="AL20" s="115">
        <f t="shared" si="21"/>
        <v>137.35952642097445</v>
      </c>
      <c r="AM20" s="115">
        <f t="shared" si="12"/>
        <v>133.12462303265025</v>
      </c>
      <c r="AN20" s="115">
        <f t="shared" si="12"/>
        <v>128.88971964432605</v>
      </c>
      <c r="AO20" s="115">
        <f t="shared" si="12"/>
        <v>124.65481625600185</v>
      </c>
      <c r="AP20" s="115">
        <f t="shared" si="12"/>
        <v>120.41991286767765</v>
      </c>
      <c r="AQ20" s="115">
        <f t="shared" si="22"/>
        <v>116.18500947935345</v>
      </c>
      <c r="AR20" t="s">
        <v>74</v>
      </c>
      <c r="AU20" s="138"/>
      <c r="AV20" s="138"/>
      <c r="AW20" s="138"/>
      <c r="AX20" s="138"/>
      <c r="AY20" s="138"/>
      <c r="AZ20" s="138"/>
      <c r="BA20" s="138"/>
    </row>
    <row r="21" spans="2:53">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U21" s="138"/>
      <c r="AV21" s="138"/>
      <c r="AW21" s="138"/>
      <c r="AX21" s="138"/>
      <c r="AY21" s="138"/>
      <c r="AZ21" s="138"/>
      <c r="BA21" s="138"/>
    </row>
    <row r="22" spans="2:53">
      <c r="C22" s="146"/>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row>
    <row r="23" spans="2:53">
      <c r="C23" s="145"/>
    </row>
    <row r="24" spans="2:53">
      <c r="C24" s="145"/>
    </row>
    <row r="27" spans="2:53">
      <c r="M27" s="144"/>
    </row>
    <row r="28" spans="2:53" ht="15.75" thickBot="1"/>
    <row r="29" spans="2:53" ht="15.75" thickBot="1">
      <c r="B29" t="s">
        <v>84</v>
      </c>
      <c r="C29" s="117">
        <v>2012</v>
      </c>
      <c r="D29" s="118">
        <v>2015</v>
      </c>
      <c r="E29" s="118">
        <v>2020</v>
      </c>
      <c r="F29" s="118">
        <v>2025</v>
      </c>
      <c r="G29" s="118">
        <v>2030</v>
      </c>
      <c r="H29" s="118">
        <v>2035</v>
      </c>
      <c r="I29" s="118">
        <v>2040</v>
      </c>
      <c r="J29" s="118">
        <v>2045</v>
      </c>
      <c r="K29" s="119">
        <v>2050</v>
      </c>
    </row>
    <row r="30" spans="2:53">
      <c r="B30" s="120" t="s">
        <v>89</v>
      </c>
      <c r="C30" s="121">
        <v>78</v>
      </c>
      <c r="D30" s="122">
        <v>80.045823526645364</v>
      </c>
      <c r="E30" s="122">
        <v>94.57106115216466</v>
      </c>
      <c r="F30" s="122">
        <v>99.932569330988002</v>
      </c>
      <c r="G30" s="122">
        <v>117.53741879765533</v>
      </c>
      <c r="H30" s="122">
        <v>119.73634535884648</v>
      </c>
      <c r="I30" s="122">
        <v>127.50069666917457</v>
      </c>
      <c r="J30" s="122">
        <v>140.89731276845546</v>
      </c>
      <c r="K30" s="122">
        <v>142.69895325319172</v>
      </c>
      <c r="L30" t="s">
        <v>88</v>
      </c>
    </row>
    <row r="35" spans="2:12">
      <c r="B35" t="s">
        <v>84</v>
      </c>
      <c r="C35">
        <v>2010</v>
      </c>
      <c r="D35">
        <v>2010</v>
      </c>
      <c r="E35">
        <v>2010</v>
      </c>
      <c r="F35">
        <v>2010</v>
      </c>
      <c r="G35">
        <v>2010</v>
      </c>
      <c r="H35">
        <v>2010</v>
      </c>
      <c r="I35">
        <v>2010</v>
      </c>
      <c r="J35">
        <v>2010</v>
      </c>
      <c r="K35">
        <v>2010</v>
      </c>
    </row>
    <row r="36" spans="2:12">
      <c r="B36" s="143" t="s">
        <v>86</v>
      </c>
      <c r="C36" s="141">
        <v>62.831709613462252</v>
      </c>
      <c r="D36" s="141">
        <v>80.045823526645364</v>
      </c>
      <c r="E36" s="141">
        <v>84.71585763474468</v>
      </c>
      <c r="F36" s="141">
        <v>87.044464790408114</v>
      </c>
      <c r="G36" s="141">
        <v>105.63699713836107</v>
      </c>
      <c r="H36" s="141">
        <v>105.30317898032885</v>
      </c>
      <c r="I36" s="141">
        <v>109.4568574005763</v>
      </c>
      <c r="J36" s="141">
        <v>125.81307362026067</v>
      </c>
      <c r="K36" s="141">
        <v>126.56509141578525</v>
      </c>
      <c r="L36" t="s">
        <v>87</v>
      </c>
    </row>
    <row r="37" spans="2:12">
      <c r="B37" s="143" t="s">
        <v>85</v>
      </c>
      <c r="C37" s="141">
        <v>62.831709613462252</v>
      </c>
      <c r="D37" s="141">
        <v>80.045823526645364</v>
      </c>
      <c r="E37" s="141">
        <v>84.513291590276339</v>
      </c>
      <c r="F37" s="141">
        <v>83.193960253569671</v>
      </c>
      <c r="G37" s="141">
        <v>98.534386349129562</v>
      </c>
      <c r="H37" s="141">
        <v>99.880847792882861</v>
      </c>
      <c r="I37" s="141">
        <v>105.55970085439719</v>
      </c>
      <c r="J37" s="141">
        <v>121.95435060842436</v>
      </c>
      <c r="K37" s="141">
        <v>123.13540537905237</v>
      </c>
      <c r="L37" t="s">
        <v>87</v>
      </c>
    </row>
  </sheetData>
  <mergeCells count="1">
    <mergeCell ref="B1:K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AV196"/>
  <sheetViews>
    <sheetView topLeftCell="A91" workbookViewId="0">
      <selection activeCell="H77" sqref="H77"/>
    </sheetView>
  </sheetViews>
  <sheetFormatPr baseColWidth="10" defaultRowHeight="15"/>
  <cols>
    <col min="1" max="1" width="3.5703125" customWidth="1"/>
    <col min="2" max="2" width="6.85546875" customWidth="1"/>
    <col min="3" max="3" width="39.5703125" bestFit="1" customWidth="1"/>
    <col min="4" max="12" width="10" customWidth="1"/>
  </cols>
  <sheetData>
    <row r="2" spans="2:12" ht="18.75">
      <c r="B2" s="149" t="s">
        <v>189</v>
      </c>
      <c r="C2" s="150"/>
      <c r="D2" s="150"/>
      <c r="E2" s="150"/>
      <c r="F2" s="150"/>
      <c r="G2" s="150"/>
      <c r="H2" s="150"/>
      <c r="I2" s="150"/>
      <c r="J2" s="150"/>
      <c r="K2" s="150"/>
      <c r="L2" s="150"/>
    </row>
    <row r="3" spans="2:12" ht="18.75">
      <c r="B3" s="151" t="s">
        <v>92</v>
      </c>
      <c r="C3" s="150"/>
      <c r="D3" s="152">
        <v>2014</v>
      </c>
      <c r="E3" s="152">
        <v>2025</v>
      </c>
      <c r="F3" s="152">
        <v>2030</v>
      </c>
      <c r="G3" s="152">
        <v>2035</v>
      </c>
      <c r="H3" s="152">
        <v>2040</v>
      </c>
      <c r="I3" s="152">
        <v>2045</v>
      </c>
      <c r="J3" s="152">
        <v>2050</v>
      </c>
      <c r="K3" s="152">
        <v>2055</v>
      </c>
      <c r="L3" s="152">
        <v>2060</v>
      </c>
    </row>
    <row r="4" spans="2:12">
      <c r="B4" s="153"/>
      <c r="C4" s="153" t="s">
        <v>93</v>
      </c>
      <c r="D4" s="153">
        <v>49946.302777771947</v>
      </c>
      <c r="E4" s="153">
        <v>40079.046756984142</v>
      </c>
      <c r="F4" s="153">
        <v>35331.593313805221</v>
      </c>
      <c r="G4" s="153">
        <v>32097.812838595586</v>
      </c>
      <c r="H4" s="153">
        <v>29083.810726385174</v>
      </c>
      <c r="I4" s="153">
        <v>26006.6947316472</v>
      </c>
      <c r="J4" s="153">
        <v>24197.704942558645</v>
      </c>
      <c r="K4" s="153">
        <v>22500.923406115868</v>
      </c>
      <c r="L4" s="153">
        <v>19951.987066649493</v>
      </c>
    </row>
    <row r="5" spans="2:12">
      <c r="B5" s="153"/>
      <c r="C5" s="153" t="s">
        <v>94</v>
      </c>
      <c r="D5" s="153">
        <v>30537.346551679475</v>
      </c>
      <c r="E5" s="153">
        <v>34120.493952089906</v>
      </c>
      <c r="F5" s="153">
        <v>34369.196955104024</v>
      </c>
      <c r="G5" s="153">
        <v>34398.067263051613</v>
      </c>
      <c r="H5" s="153">
        <v>34149.550914804182</v>
      </c>
      <c r="I5" s="153">
        <v>32893.845766906546</v>
      </c>
      <c r="J5" s="153">
        <v>31855.934058465627</v>
      </c>
      <c r="K5" s="153">
        <v>31070.389118787069</v>
      </c>
      <c r="L5" s="153">
        <v>29888.598634079066</v>
      </c>
    </row>
    <row r="6" spans="2:12">
      <c r="B6" s="153"/>
      <c r="C6" s="153" t="s">
        <v>95</v>
      </c>
      <c r="D6" s="153">
        <v>29691.502980558045</v>
      </c>
      <c r="E6" s="153">
        <v>35006.972651681928</v>
      </c>
      <c r="F6" s="153">
        <v>34390.703778053212</v>
      </c>
      <c r="G6" s="153">
        <v>34929.745011208972</v>
      </c>
      <c r="H6" s="153">
        <v>34827.850851228293</v>
      </c>
      <c r="I6" s="153">
        <v>35344.224779131851</v>
      </c>
      <c r="J6" s="153">
        <v>35425.145390755286</v>
      </c>
      <c r="K6" s="153">
        <v>36654.045941247896</v>
      </c>
      <c r="L6" s="153">
        <v>36105.933049225016</v>
      </c>
    </row>
    <row r="7" spans="2:12">
      <c r="B7" s="153"/>
      <c r="C7" s="154" t="s">
        <v>96</v>
      </c>
      <c r="D7" s="154">
        <v>30134.40878709458</v>
      </c>
      <c r="E7" s="154">
        <v>33886.588709316646</v>
      </c>
      <c r="F7" s="154">
        <v>34971.006074372832</v>
      </c>
      <c r="G7" s="154">
        <v>36122.988987739482</v>
      </c>
      <c r="H7" s="154">
        <v>37088.892573130943</v>
      </c>
      <c r="I7" s="154">
        <v>37824.207842900811</v>
      </c>
      <c r="J7" s="154">
        <v>39376.61204787196</v>
      </c>
      <c r="K7" s="154">
        <v>41728.927351580809</v>
      </c>
      <c r="L7" s="154">
        <v>45899.336458001962</v>
      </c>
    </row>
    <row r="8" spans="2:12">
      <c r="B8" s="153"/>
      <c r="C8" s="153" t="s">
        <v>97</v>
      </c>
      <c r="D8" s="153">
        <v>5164.3178118490941</v>
      </c>
      <c r="E8" s="153">
        <v>6730.8210251766714</v>
      </c>
      <c r="F8" s="153">
        <v>6098.3552040426557</v>
      </c>
      <c r="G8" s="153">
        <v>5813.2419483112326</v>
      </c>
      <c r="H8" s="153">
        <v>5153.8711708120109</v>
      </c>
      <c r="I8" s="153">
        <v>5176.7613313841221</v>
      </c>
      <c r="J8" s="153">
        <v>5071.56735599273</v>
      </c>
      <c r="K8" s="153">
        <v>5407.5955465458919</v>
      </c>
      <c r="L8" s="153">
        <v>5936.6060405232474</v>
      </c>
    </row>
    <row r="9" spans="2:12">
      <c r="B9" s="153"/>
      <c r="C9" s="153" t="s">
        <v>98</v>
      </c>
      <c r="D9" s="153">
        <v>7866.212421809746</v>
      </c>
      <c r="E9" s="153">
        <v>9029.837151603786</v>
      </c>
      <c r="F9" s="153">
        <v>10027.739627171903</v>
      </c>
      <c r="G9" s="153">
        <v>11260.206286427076</v>
      </c>
      <c r="H9" s="153">
        <v>12376.633480211078</v>
      </c>
      <c r="I9" s="153">
        <v>13608.072134029182</v>
      </c>
      <c r="J9" s="153">
        <v>14756.945514392482</v>
      </c>
      <c r="K9" s="153">
        <v>16607.95056482626</v>
      </c>
      <c r="L9" s="153">
        <v>18581.125961592934</v>
      </c>
    </row>
    <row r="10" spans="2:12">
      <c r="B10" s="153"/>
      <c r="C10" s="153" t="s">
        <v>99</v>
      </c>
      <c r="D10" s="153">
        <v>247.15002343774793</v>
      </c>
      <c r="E10" s="153">
        <v>718.75426474885205</v>
      </c>
      <c r="F10" s="153">
        <v>1130.8453258741556</v>
      </c>
      <c r="G10" s="153">
        <v>1746.1315083485626</v>
      </c>
      <c r="H10" s="153">
        <v>2274.1034526666531</v>
      </c>
      <c r="I10" s="153">
        <v>2485.936952462725</v>
      </c>
      <c r="J10" s="153">
        <v>3168.2130117855927</v>
      </c>
      <c r="K10" s="153">
        <v>3720.9706087174382</v>
      </c>
      <c r="L10" s="153">
        <v>3735.2099757811966</v>
      </c>
    </row>
    <row r="11" spans="2:12">
      <c r="B11" s="153"/>
      <c r="C11" s="153" t="s">
        <v>100</v>
      </c>
      <c r="D11" s="153">
        <v>33.201934504626685</v>
      </c>
      <c r="E11" s="153">
        <v>652.30879952783278</v>
      </c>
      <c r="F11" s="153">
        <v>1415.9612513613486</v>
      </c>
      <c r="G11" s="153">
        <v>2139.2696889648942</v>
      </c>
      <c r="H11" s="153">
        <v>2760.621130991532</v>
      </c>
      <c r="I11" s="153">
        <v>3235.8000082356266</v>
      </c>
      <c r="J11" s="153">
        <v>3570.2357860563334</v>
      </c>
      <c r="K11" s="153">
        <v>4033.20738702792</v>
      </c>
      <c r="L11" s="153">
        <v>4366.1298161111981</v>
      </c>
    </row>
    <row r="12" spans="2:12">
      <c r="B12" s="153"/>
      <c r="C12" s="155" t="s">
        <v>101</v>
      </c>
      <c r="D12" s="155">
        <v>153620.44328870525</v>
      </c>
      <c r="E12" s="155">
        <v>160224.82331112976</v>
      </c>
      <c r="F12" s="155">
        <v>157735.40152978536</v>
      </c>
      <c r="G12" s="155">
        <v>158507.46353264741</v>
      </c>
      <c r="H12" s="155">
        <v>157715.33430022991</v>
      </c>
      <c r="I12" s="155">
        <v>156575.54354669806</v>
      </c>
      <c r="J12" s="155">
        <v>157422.35810787865</v>
      </c>
      <c r="K12" s="155">
        <v>161724.00992484915</v>
      </c>
      <c r="L12" s="155">
        <v>164464.92700196413</v>
      </c>
    </row>
    <row r="14" spans="2:12" ht="18.75">
      <c r="B14" s="151" t="s">
        <v>102</v>
      </c>
      <c r="C14" s="151"/>
      <c r="D14" s="152"/>
      <c r="E14" s="152"/>
      <c r="F14" s="152"/>
      <c r="G14" s="152"/>
      <c r="H14" s="152"/>
      <c r="I14" s="152"/>
      <c r="J14" s="152"/>
      <c r="K14" s="152"/>
      <c r="L14" s="152"/>
    </row>
    <row r="15" spans="2:12">
      <c r="C15" s="153" t="s">
        <v>103</v>
      </c>
      <c r="D15" s="153">
        <v>1275.1759529988908</v>
      </c>
      <c r="E15" s="153">
        <v>1510.5856378617225</v>
      </c>
      <c r="F15" s="153">
        <v>1589.9597119287432</v>
      </c>
      <c r="G15" s="153">
        <v>1669.1449333464464</v>
      </c>
      <c r="H15" s="153">
        <v>1875.0412722426395</v>
      </c>
      <c r="I15" s="153">
        <v>1948.9658747677618</v>
      </c>
      <c r="J15" s="153">
        <v>2165.8698197274689</v>
      </c>
      <c r="K15" s="153">
        <v>2326.962340729111</v>
      </c>
      <c r="L15" s="153">
        <v>2507.1380712498731</v>
      </c>
    </row>
    <row r="16" spans="2:12">
      <c r="C16" s="153" t="s">
        <v>104</v>
      </c>
      <c r="D16" s="153">
        <v>4220.7515985600003</v>
      </c>
      <c r="E16" s="153">
        <v>6913.4592464139405</v>
      </c>
      <c r="F16" s="153">
        <v>7304.1760394011535</v>
      </c>
      <c r="G16" s="153">
        <v>7088.3030475465002</v>
      </c>
      <c r="H16" s="153">
        <v>6368.0522214114953</v>
      </c>
      <c r="I16" s="153">
        <v>6178.408663462661</v>
      </c>
      <c r="J16" s="153">
        <v>6147.6195996734696</v>
      </c>
      <c r="K16" s="153">
        <v>6646.6556780167402</v>
      </c>
      <c r="L16" s="153">
        <v>8596.8262689774256</v>
      </c>
    </row>
    <row r="17" spans="2:23">
      <c r="C17" s="153" t="s">
        <v>105</v>
      </c>
      <c r="D17" s="153">
        <v>4282.8951823919997</v>
      </c>
      <c r="E17" s="153">
        <v>4408.3426873476228</v>
      </c>
      <c r="F17" s="153">
        <v>4595.7506785705345</v>
      </c>
      <c r="G17" s="153">
        <v>4738.0831710233533</v>
      </c>
      <c r="H17" s="153">
        <v>5021.4994113816565</v>
      </c>
      <c r="I17" s="153">
        <v>5186.6228130405607</v>
      </c>
      <c r="J17" s="153">
        <v>5376.0918750632663</v>
      </c>
      <c r="K17" s="153">
        <v>5547.5869151793022</v>
      </c>
      <c r="L17" s="153">
        <v>5771.0991420817672</v>
      </c>
    </row>
    <row r="18" spans="2:23">
      <c r="C18" s="153" t="s">
        <v>106</v>
      </c>
      <c r="D18" s="153">
        <v>1025.6459611143143</v>
      </c>
      <c r="E18" s="153">
        <v>1108.0628438172164</v>
      </c>
      <c r="F18" s="153">
        <v>1137.2737513526686</v>
      </c>
      <c r="G18" s="153">
        <v>1152.6679854467557</v>
      </c>
      <c r="H18" s="153">
        <v>1160.1904333814118</v>
      </c>
      <c r="I18" s="153">
        <v>1157.2113002185097</v>
      </c>
      <c r="J18" s="153">
        <v>1147.1366548084779</v>
      </c>
      <c r="K18" s="153">
        <v>1183.5629528862064</v>
      </c>
      <c r="L18" s="153">
        <v>1218.1711176051322</v>
      </c>
    </row>
    <row r="19" spans="2:23">
      <c r="C19" s="153" t="s">
        <v>107</v>
      </c>
      <c r="D19" s="153">
        <v>3336.9459492588026</v>
      </c>
      <c r="E19" s="153">
        <v>3554.5536167269192</v>
      </c>
      <c r="F19" s="153">
        <v>3554.4724084886511</v>
      </c>
      <c r="G19" s="153">
        <v>3469.9059883379941</v>
      </c>
      <c r="H19" s="153">
        <v>3126.9213512448787</v>
      </c>
      <c r="I19" s="153">
        <v>2865.2522590217372</v>
      </c>
      <c r="J19" s="153">
        <v>2616.8047943456263</v>
      </c>
      <c r="K19" s="153">
        <v>2454.3277315118962</v>
      </c>
      <c r="L19" s="153">
        <v>2320.1851731638212</v>
      </c>
      <c r="P19" s="156"/>
      <c r="Q19" s="156"/>
      <c r="R19" s="156"/>
      <c r="S19" s="156"/>
      <c r="T19" s="156"/>
      <c r="U19" s="156"/>
      <c r="V19" s="156"/>
      <c r="W19" s="156"/>
    </row>
    <row r="20" spans="2:23" ht="18.75">
      <c r="B20" s="151" t="s">
        <v>108</v>
      </c>
      <c r="C20" s="151"/>
      <c r="D20" s="152"/>
      <c r="E20" s="152"/>
      <c r="F20" s="152"/>
      <c r="G20" s="152"/>
      <c r="H20" s="152"/>
      <c r="I20" s="152"/>
      <c r="J20" s="152"/>
      <c r="K20" s="152"/>
      <c r="L20" s="152"/>
      <c r="P20" s="156"/>
      <c r="Q20" s="156"/>
      <c r="R20" s="156"/>
      <c r="S20" s="156"/>
      <c r="T20" s="156"/>
      <c r="U20" s="156"/>
      <c r="V20" s="156"/>
      <c r="W20" s="156"/>
    </row>
    <row r="21" spans="2:23">
      <c r="C21" s="153" t="s">
        <v>103</v>
      </c>
      <c r="D21" s="200">
        <v>10633.37664595434</v>
      </c>
      <c r="E21" s="200">
        <v>11774.512918042043</v>
      </c>
      <c r="F21" s="200">
        <v>11702.1016196155</v>
      </c>
      <c r="G21" s="200">
        <v>11571.855826877178</v>
      </c>
      <c r="H21" s="200">
        <v>11960.96710247649</v>
      </c>
      <c r="I21" s="200">
        <v>11948.571677729946</v>
      </c>
      <c r="J21" s="200">
        <v>12386.521961490982</v>
      </c>
      <c r="K21" s="200">
        <v>13284.140291218519</v>
      </c>
      <c r="L21" s="200">
        <v>14056.934229215361</v>
      </c>
      <c r="P21" s="156"/>
      <c r="Q21" s="156"/>
      <c r="R21" s="156"/>
      <c r="S21" s="156"/>
      <c r="T21" s="156"/>
      <c r="U21" s="156"/>
      <c r="V21" s="156"/>
      <c r="W21" s="156"/>
    </row>
    <row r="22" spans="2:23">
      <c r="C22" s="153" t="s">
        <v>104</v>
      </c>
      <c r="D22" s="200">
        <v>42478.499456171994</v>
      </c>
      <c r="E22" s="200">
        <v>58005.287597233422</v>
      </c>
      <c r="F22" s="200">
        <v>58752.561104989087</v>
      </c>
      <c r="G22" s="200">
        <v>58895.149510533418</v>
      </c>
      <c r="H22" s="200">
        <v>57615.553309696006</v>
      </c>
      <c r="I22" s="200">
        <v>56926.188830498031</v>
      </c>
      <c r="J22" s="200">
        <v>56963.859509315633</v>
      </c>
      <c r="K22" s="200">
        <v>58635.873213171239</v>
      </c>
      <c r="L22" s="200">
        <v>59976.50874451096</v>
      </c>
      <c r="P22" s="156"/>
      <c r="Q22" s="156"/>
      <c r="R22" s="156"/>
      <c r="S22" s="156"/>
      <c r="T22" s="156"/>
      <c r="U22" s="156"/>
      <c r="V22" s="156"/>
      <c r="W22" s="156"/>
    </row>
    <row r="23" spans="2:23">
      <c r="C23" s="153" t="s">
        <v>105</v>
      </c>
      <c r="D23" s="200">
        <v>35622.515647692009</v>
      </c>
      <c r="E23" s="200">
        <v>26734.268527096905</v>
      </c>
      <c r="F23" s="200">
        <v>24309.81967672352</v>
      </c>
      <c r="G23" s="200">
        <v>23348.749326346027</v>
      </c>
      <c r="H23" s="200">
        <v>22493.723077162489</v>
      </c>
      <c r="I23" s="200">
        <v>22034.077705835109</v>
      </c>
      <c r="J23" s="200">
        <v>21204.44051037695</v>
      </c>
      <c r="K23" s="200">
        <v>20700.687224485475</v>
      </c>
      <c r="L23" s="200">
        <v>19166.056671615632</v>
      </c>
      <c r="P23" s="156"/>
      <c r="Q23" s="156"/>
      <c r="R23" s="156"/>
      <c r="S23" s="156"/>
      <c r="T23" s="156"/>
      <c r="U23" s="156"/>
      <c r="V23" s="156"/>
      <c r="W23" s="156"/>
    </row>
    <row r="24" spans="2:23">
      <c r="C24" s="153" t="s">
        <v>106</v>
      </c>
      <c r="D24" s="200">
        <v>5945.5852129350405</v>
      </c>
      <c r="E24" s="200">
        <v>5784.6842722681022</v>
      </c>
      <c r="F24" s="200">
        <v>5770.1257987796989</v>
      </c>
      <c r="G24" s="200">
        <v>5534.677917564999</v>
      </c>
      <c r="H24" s="200">
        <v>5262.1200542531378</v>
      </c>
      <c r="I24" s="200">
        <v>5023.537015884398</v>
      </c>
      <c r="J24" s="200">
        <v>4702.8739189416783</v>
      </c>
      <c r="K24" s="200">
        <v>4884.0956123990572</v>
      </c>
      <c r="L24" s="200">
        <v>5038.9735186011421</v>
      </c>
      <c r="P24" s="156"/>
      <c r="Q24" s="156"/>
      <c r="R24" s="156"/>
      <c r="S24" s="156"/>
      <c r="T24" s="156"/>
      <c r="U24" s="156"/>
      <c r="V24" s="156"/>
      <c r="W24" s="156"/>
    </row>
    <row r="25" spans="2:23">
      <c r="C25" s="153" t="s">
        <v>107</v>
      </c>
      <c r="D25" s="200">
        <v>6162.0727899958274</v>
      </c>
      <c r="E25" s="200">
        <v>6621.3396217175286</v>
      </c>
      <c r="F25" s="200">
        <v>6586.0956725657143</v>
      </c>
      <c r="G25" s="200">
        <v>6376.1246475674188</v>
      </c>
      <c r="H25" s="200">
        <v>5698.8152479194114</v>
      </c>
      <c r="I25" s="200">
        <v>5118.8521765922105</v>
      </c>
      <c r="J25" s="200">
        <v>4567.7931681450773</v>
      </c>
      <c r="K25" s="200">
        <v>4233.2706596493963</v>
      </c>
      <c r="L25" s="200">
        <v>4014.4763023159167</v>
      </c>
      <c r="P25" s="156"/>
      <c r="Q25" s="156"/>
      <c r="R25" s="156"/>
      <c r="S25" s="156"/>
      <c r="T25" s="156"/>
      <c r="U25" s="156"/>
      <c r="V25" s="156"/>
      <c r="W25" s="156"/>
    </row>
    <row r="26" spans="2:23">
      <c r="P26" s="156"/>
      <c r="Q26" s="156"/>
      <c r="R26" s="156"/>
      <c r="S26" s="156"/>
      <c r="T26" s="156"/>
      <c r="U26" s="156"/>
      <c r="V26" s="156"/>
      <c r="W26" s="156"/>
    </row>
    <row r="27" spans="2:23" ht="18.75">
      <c r="B27" s="151" t="s">
        <v>109</v>
      </c>
      <c r="C27" s="151"/>
      <c r="D27" s="152"/>
      <c r="E27" s="152"/>
      <c r="F27" s="152"/>
      <c r="G27" s="152"/>
      <c r="H27" s="152"/>
      <c r="I27" s="152"/>
      <c r="J27" s="152"/>
      <c r="K27" s="152"/>
      <c r="L27" s="152"/>
      <c r="W27" s="156"/>
    </row>
    <row r="28" spans="2:23">
      <c r="C28" s="157" t="s">
        <v>110</v>
      </c>
      <c r="D28" s="153">
        <v>13625.004647</v>
      </c>
      <c r="E28" s="153">
        <v>9369.4364035276667</v>
      </c>
      <c r="F28" s="153">
        <v>7083.1994249231311</v>
      </c>
      <c r="G28" s="153">
        <v>4758.6490241959691</v>
      </c>
      <c r="H28" s="153">
        <v>2661.9039102911465</v>
      </c>
      <c r="I28" s="153">
        <v>823.65980003171899</v>
      </c>
      <c r="J28" s="153">
        <v>-355.66926433015539</v>
      </c>
      <c r="K28" s="153">
        <v>-1189.020977350287</v>
      </c>
      <c r="L28" s="153">
        <v>-1743.8363466395458</v>
      </c>
    </row>
    <row r="29" spans="2:23">
      <c r="C29" s="158" t="s">
        <v>111</v>
      </c>
      <c r="D29" s="200">
        <v>23818.899236000001</v>
      </c>
      <c r="E29" s="200">
        <v>28376.859498996477</v>
      </c>
      <c r="F29" s="200">
        <v>30959.294532562992</v>
      </c>
      <c r="G29" s="200">
        <v>33824.81659758625</v>
      </c>
      <c r="H29" s="200">
        <v>37015.335114018257</v>
      </c>
      <c r="I29" s="200">
        <v>40481.30248414159</v>
      </c>
      <c r="J29" s="200">
        <v>44320.722868883975</v>
      </c>
      <c r="K29" s="200">
        <v>48600.433498031431</v>
      </c>
      <c r="L29" s="200">
        <v>53122.56668612465</v>
      </c>
    </row>
    <row r="30" spans="2:23">
      <c r="C30" s="159" t="s">
        <v>112</v>
      </c>
      <c r="D30" s="160">
        <f t="shared" ref="D30:L30" si="0">+D28/D29</f>
        <v>0.57202495010378573</v>
      </c>
      <c r="E30" s="160">
        <f t="shared" si="0"/>
        <v>0.33017876428006449</v>
      </c>
      <c r="F30" s="160">
        <f t="shared" si="0"/>
        <v>0.22879072446153514</v>
      </c>
      <c r="G30" s="160">
        <f t="shared" si="0"/>
        <v>0.14068513898566262</v>
      </c>
      <c r="H30" s="160">
        <f t="shared" si="0"/>
        <v>7.1913543456831874E-2</v>
      </c>
      <c r="I30" s="160">
        <f t="shared" si="0"/>
        <v>2.0346672401521292E-2</v>
      </c>
      <c r="J30" s="160">
        <f t="shared" si="0"/>
        <v>-8.024897639471E-3</v>
      </c>
      <c r="K30" s="160">
        <f t="shared" si="0"/>
        <v>-2.4465233985998262E-2</v>
      </c>
      <c r="L30" s="160">
        <f t="shared" si="0"/>
        <v>-3.2826658337934321E-2</v>
      </c>
      <c r="M30" t="s">
        <v>113</v>
      </c>
    </row>
    <row r="31" spans="2:23">
      <c r="C31" s="159"/>
      <c r="D31" s="160"/>
      <c r="E31" s="160"/>
      <c r="F31" s="160"/>
      <c r="G31" s="160"/>
      <c r="H31" s="160"/>
      <c r="I31" s="160"/>
      <c r="J31" s="160"/>
      <c r="K31" s="160"/>
      <c r="L31" s="160"/>
    </row>
    <row r="32" spans="2:23" ht="18.75">
      <c r="B32" s="151" t="s">
        <v>114</v>
      </c>
      <c r="C32" s="161"/>
      <c r="D32" s="152"/>
      <c r="E32" s="152"/>
      <c r="F32" s="152"/>
      <c r="G32" s="152"/>
      <c r="H32" s="152"/>
      <c r="I32" s="152"/>
      <c r="J32" s="152"/>
      <c r="K32" s="152"/>
      <c r="L32" s="152"/>
    </row>
    <row r="33" spans="2:20" ht="18">
      <c r="B33" s="153"/>
      <c r="C33" s="162" t="s">
        <v>115</v>
      </c>
      <c r="D33" s="153">
        <v>8346.0621655155301</v>
      </c>
      <c r="E33" s="153">
        <v>6980.0299244955286</v>
      </c>
      <c r="F33" s="153">
        <v>6018.0493382227842</v>
      </c>
      <c r="G33" s="153">
        <v>5251.3196533144628</v>
      </c>
      <c r="H33" s="153">
        <v>4600.7551198740875</v>
      </c>
      <c r="I33" s="153">
        <v>4014.9883285108426</v>
      </c>
      <c r="J33" s="153">
        <v>3230.5533914542521</v>
      </c>
      <c r="K33" s="153">
        <v>2714.7669443002574</v>
      </c>
      <c r="L33" s="153">
        <v>2091.0231750576386</v>
      </c>
    </row>
    <row r="34" spans="2:20" ht="18.75">
      <c r="B34" s="151" t="s">
        <v>116</v>
      </c>
      <c r="C34" s="161"/>
      <c r="D34" s="152"/>
      <c r="E34" s="152"/>
      <c r="F34" s="152"/>
      <c r="G34" s="152"/>
      <c r="H34" s="152"/>
      <c r="I34" s="152"/>
      <c r="J34" s="152"/>
      <c r="K34" s="152"/>
      <c r="L34" s="152"/>
    </row>
    <row r="35" spans="2:20">
      <c r="B35" s="153"/>
      <c r="C35" s="153" t="s">
        <v>103</v>
      </c>
      <c r="D35" s="153">
        <v>2230.1009269397146</v>
      </c>
      <c r="E35" s="153">
        <v>2125.7360196186214</v>
      </c>
      <c r="F35" s="153">
        <v>1876.4818682927826</v>
      </c>
      <c r="G35" s="153">
        <v>1616.1512071622758</v>
      </c>
      <c r="H35" s="153">
        <v>1343.0156681753047</v>
      </c>
      <c r="I35" s="153">
        <v>1208.2029158881917</v>
      </c>
      <c r="J35" s="153">
        <v>865.472922850911</v>
      </c>
      <c r="K35" s="153">
        <v>728.75145031952661</v>
      </c>
      <c r="L35" s="153">
        <v>485.29551155780666</v>
      </c>
    </row>
    <row r="36" spans="2:20">
      <c r="B36" s="153"/>
      <c r="C36" s="153" t="s">
        <v>104</v>
      </c>
      <c r="D36" s="153">
        <v>1061.0697844663939</v>
      </c>
      <c r="E36" s="153">
        <v>1182.0101763991097</v>
      </c>
      <c r="F36" s="153">
        <v>1017.0146325748048</v>
      </c>
      <c r="G36" s="153">
        <v>900.5925040755518</v>
      </c>
      <c r="H36" s="153">
        <v>774.70559845693458</v>
      </c>
      <c r="I36" s="153">
        <v>648.96103776238454</v>
      </c>
      <c r="J36" s="153">
        <v>522.46321149189362</v>
      </c>
      <c r="K36" s="153">
        <v>405.93604782593451</v>
      </c>
      <c r="L36" s="153">
        <v>320.77800842652101</v>
      </c>
    </row>
    <row r="37" spans="2:20">
      <c r="B37" s="153"/>
      <c r="C37" s="153" t="s">
        <v>105</v>
      </c>
      <c r="D37" s="153">
        <v>2338.4101620461929</v>
      </c>
      <c r="E37" s="153">
        <v>1486.448853394957</v>
      </c>
      <c r="F37" s="153">
        <v>1162.2090048784066</v>
      </c>
      <c r="G37" s="153">
        <v>897.39024487790971</v>
      </c>
      <c r="H37" s="153">
        <v>778.1719315129377</v>
      </c>
      <c r="I37" s="153">
        <v>647.05010229236814</v>
      </c>
      <c r="J37" s="153">
        <v>487.60961729012712</v>
      </c>
      <c r="K37" s="153">
        <v>377.8224902635593</v>
      </c>
      <c r="L37" s="153">
        <v>207.92612194625229</v>
      </c>
    </row>
    <row r="38" spans="2:20">
      <c r="B38" s="153"/>
      <c r="C38" s="153" t="s">
        <v>106</v>
      </c>
      <c r="D38" s="153">
        <v>194.41575097860326</v>
      </c>
      <c r="E38" s="153">
        <v>133.20048915940689</v>
      </c>
      <c r="F38" s="153">
        <v>122.64894659746955</v>
      </c>
      <c r="G38" s="153">
        <v>98.493149467847886</v>
      </c>
      <c r="H38" s="153">
        <v>69.915817706529495</v>
      </c>
      <c r="I38" s="153">
        <v>29.733493634410511</v>
      </c>
      <c r="J38" s="153">
        <v>28.58075799113324</v>
      </c>
      <c r="K38" s="153">
        <v>27.183653427341326</v>
      </c>
      <c r="L38" s="153">
        <v>22.743816137104837</v>
      </c>
    </row>
    <row r="39" spans="2:20">
      <c r="B39" s="153"/>
      <c r="C39" s="153" t="s">
        <v>107</v>
      </c>
      <c r="D39" s="153">
        <v>260.65242521456832</v>
      </c>
      <c r="E39" s="153">
        <v>294.61142755804804</v>
      </c>
      <c r="F39" s="153">
        <v>283.27371297645277</v>
      </c>
      <c r="G39" s="153">
        <v>266.92459289305839</v>
      </c>
      <c r="H39" s="153">
        <v>236.1548724441227</v>
      </c>
      <c r="I39" s="153">
        <v>204.8840090521042</v>
      </c>
      <c r="J39" s="153">
        <v>170.96132714449232</v>
      </c>
      <c r="K39" s="153">
        <v>138.66330714883668</v>
      </c>
      <c r="L39" s="153">
        <v>125.42815582380175</v>
      </c>
    </row>
    <row r="40" spans="2:20">
      <c r="D40" s="163"/>
      <c r="E40" s="163"/>
      <c r="F40" s="163"/>
      <c r="G40" s="163"/>
      <c r="H40" s="163"/>
      <c r="I40" s="163"/>
      <c r="J40" s="163"/>
      <c r="K40" s="163"/>
      <c r="L40" s="163"/>
      <c r="N40" s="163"/>
      <c r="O40" s="163"/>
      <c r="P40" s="163"/>
      <c r="Q40" s="163"/>
      <c r="R40" s="163"/>
      <c r="S40" s="163"/>
      <c r="T40" s="163"/>
    </row>
    <row r="41" spans="2:20" ht="18.75">
      <c r="B41" s="151" t="s">
        <v>117</v>
      </c>
      <c r="C41" s="151"/>
      <c r="D41" s="152"/>
      <c r="E41" s="152"/>
      <c r="F41" s="152"/>
      <c r="G41" s="152"/>
      <c r="H41" s="152"/>
      <c r="I41" s="152"/>
      <c r="J41" s="152"/>
      <c r="K41" s="152"/>
      <c r="L41" s="152"/>
    </row>
    <row r="42" spans="2:20">
      <c r="C42" s="164" t="s">
        <v>118</v>
      </c>
      <c r="D42" s="165">
        <f t="shared" ref="D42:L42" si="1">+D12-SUM(D21:D25)</f>
        <v>52778.393535956042</v>
      </c>
      <c r="E42" s="165">
        <f t="shared" si="1"/>
        <v>51304.730374771752</v>
      </c>
      <c r="F42" s="165">
        <f t="shared" si="1"/>
        <v>50614.697657111843</v>
      </c>
      <c r="G42" s="165">
        <f t="shared" si="1"/>
        <v>52780.906303758384</v>
      </c>
      <c r="H42" s="165">
        <f t="shared" si="1"/>
        <v>54684.155508722368</v>
      </c>
      <c r="I42" s="165">
        <f t="shared" si="1"/>
        <v>55524.316140158364</v>
      </c>
      <c r="J42" s="165">
        <f t="shared" si="1"/>
        <v>57596.869039608326</v>
      </c>
      <c r="K42" s="165">
        <f t="shared" si="1"/>
        <v>59985.942923925453</v>
      </c>
      <c r="L42" s="165">
        <f t="shared" si="1"/>
        <v>62211.977535705111</v>
      </c>
      <c r="M42" t="s">
        <v>113</v>
      </c>
    </row>
    <row r="43" spans="2:20">
      <c r="C43" s="164" t="s">
        <v>119</v>
      </c>
      <c r="D43" s="165">
        <f t="shared" ref="D43:L43" si="2">+D7-SUM(D15:D19)</f>
        <v>15992.994142770573</v>
      </c>
      <c r="E43" s="165">
        <f t="shared" si="2"/>
        <v>16391.584677149222</v>
      </c>
      <c r="F43" s="165">
        <f t="shared" si="2"/>
        <v>16789.373484631084</v>
      </c>
      <c r="G43" s="165">
        <f t="shared" si="2"/>
        <v>18004.883862038434</v>
      </c>
      <c r="H43" s="165">
        <f t="shared" si="2"/>
        <v>19537.187883468861</v>
      </c>
      <c r="I43" s="165">
        <f t="shared" si="2"/>
        <v>20487.746932389578</v>
      </c>
      <c r="J43" s="165">
        <f t="shared" si="2"/>
        <v>21923.089304253652</v>
      </c>
      <c r="K43" s="165">
        <f t="shared" si="2"/>
        <v>23569.831733257553</v>
      </c>
      <c r="L43" s="165">
        <f t="shared" si="2"/>
        <v>25485.916684923945</v>
      </c>
      <c r="M43" t="s">
        <v>113</v>
      </c>
    </row>
    <row r="44" spans="2:20">
      <c r="C44" s="164" t="s">
        <v>120</v>
      </c>
      <c r="D44" s="165">
        <f>+D43*0.2777777778</f>
        <v>4442.4983733472254</v>
      </c>
      <c r="E44" s="165">
        <f t="shared" ref="E44:L44" si="3">+E43*0.2777777778</f>
        <v>4553.2179662390417</v>
      </c>
      <c r="F44" s="165">
        <f t="shared" si="3"/>
        <v>4663.7148572150654</v>
      </c>
      <c r="G44" s="165">
        <f t="shared" si="3"/>
        <v>5001.3566287441181</v>
      </c>
      <c r="H44" s="165">
        <f t="shared" si="3"/>
        <v>5426.9966347310656</v>
      </c>
      <c r="I44" s="165">
        <f t="shared" si="3"/>
        <v>5691.0408150079438</v>
      </c>
      <c r="J44" s="165">
        <f t="shared" si="3"/>
        <v>6089.7470294465274</v>
      </c>
      <c r="K44" s="165">
        <f t="shared" si="3"/>
        <v>6547.1754819842063</v>
      </c>
      <c r="L44" s="165">
        <f t="shared" si="3"/>
        <v>7079.4213019341169</v>
      </c>
      <c r="M44" t="s">
        <v>113</v>
      </c>
      <c r="O44" s="145"/>
      <c r="P44" s="145"/>
      <c r="Q44" s="145"/>
      <c r="R44" s="145"/>
      <c r="S44" s="145"/>
      <c r="T44" s="145"/>
    </row>
    <row r="45" spans="2:20">
      <c r="C45" s="164" t="s">
        <v>121</v>
      </c>
      <c r="D45" s="165">
        <f t="shared" ref="D45:L45" si="4">+D44*D30</f>
        <v>2541.2199103500957</v>
      </c>
      <c r="E45" s="165">
        <f t="shared" si="4"/>
        <v>1503.3758815905951</v>
      </c>
      <c r="F45" s="165">
        <f t="shared" si="4"/>
        <v>1067.0147008642598</v>
      </c>
      <c r="G45" s="165">
        <f t="shared" si="4"/>
        <v>703.61655243173129</v>
      </c>
      <c r="H45" s="165">
        <f t="shared" si="4"/>
        <v>390.27455833181284</v>
      </c>
      <c r="I45" s="165">
        <f t="shared" si="4"/>
        <v>115.79374308665336</v>
      </c>
      <c r="J45" s="165">
        <f t="shared" si="4"/>
        <v>-48.86959656158097</v>
      </c>
      <c r="K45" s="165">
        <f t="shared" si="4"/>
        <v>-160.17818011413456</v>
      </c>
      <c r="L45" s="165">
        <f t="shared" si="4"/>
        <v>-232.39374430888543</v>
      </c>
      <c r="M45" t="s">
        <v>113</v>
      </c>
    </row>
    <row r="46" spans="2:20">
      <c r="C46" s="164" t="s">
        <v>122</v>
      </c>
      <c r="D46" s="166">
        <f t="shared" ref="D46:L46" si="5">+D33-SUM(D35:D39)</f>
        <v>2261.4131158700566</v>
      </c>
      <c r="E46" s="166">
        <f t="shared" si="5"/>
        <v>1758.0229583653845</v>
      </c>
      <c r="F46" s="166">
        <f t="shared" si="5"/>
        <v>1556.4211729028684</v>
      </c>
      <c r="G46" s="166">
        <f t="shared" si="5"/>
        <v>1471.7679548378192</v>
      </c>
      <c r="H46" s="166">
        <f t="shared" si="5"/>
        <v>1398.7912315782582</v>
      </c>
      <c r="I46" s="166">
        <f t="shared" si="5"/>
        <v>1276.1567698813833</v>
      </c>
      <c r="J46" s="166">
        <f t="shared" si="5"/>
        <v>1155.4655546856948</v>
      </c>
      <c r="K46" s="166">
        <f t="shared" si="5"/>
        <v>1036.4099953150589</v>
      </c>
      <c r="L46" s="166">
        <f t="shared" si="5"/>
        <v>928.8515611661519</v>
      </c>
      <c r="M46" t="s">
        <v>113</v>
      </c>
    </row>
    <row r="48" spans="2:20" ht="18.75">
      <c r="B48" s="167" t="s">
        <v>123</v>
      </c>
      <c r="C48" s="168"/>
      <c r="D48" s="168"/>
      <c r="E48" s="168"/>
      <c r="F48" s="168"/>
      <c r="G48" s="168"/>
      <c r="H48" s="168"/>
      <c r="I48" s="168"/>
      <c r="J48" s="168"/>
      <c r="K48" s="168"/>
      <c r="L48" s="168"/>
    </row>
    <row r="49" spans="2:14" ht="18.75">
      <c r="B49" s="168" t="s">
        <v>124</v>
      </c>
      <c r="C49" s="169"/>
      <c r="D49" s="170" t="s">
        <v>125</v>
      </c>
      <c r="E49" s="170" t="s">
        <v>126</v>
      </c>
      <c r="F49" s="170" t="s">
        <v>127</v>
      </c>
      <c r="G49" s="170" t="s">
        <v>128</v>
      </c>
      <c r="H49" s="170" t="s">
        <v>129</v>
      </c>
      <c r="I49" s="170" t="s">
        <v>130</v>
      </c>
      <c r="J49" s="170" t="s">
        <v>131</v>
      </c>
      <c r="K49" s="170" t="s">
        <v>132</v>
      </c>
      <c r="L49" s="170" t="s">
        <v>133</v>
      </c>
    </row>
    <row r="50" spans="2:14">
      <c r="B50" s="153"/>
      <c r="C50" s="153" t="s">
        <v>134</v>
      </c>
      <c r="D50" s="153">
        <v>62.831709613462252</v>
      </c>
      <c r="E50" s="153">
        <v>80.045823526645364</v>
      </c>
      <c r="F50" s="153">
        <v>84.513291590276339</v>
      </c>
      <c r="G50" s="153">
        <v>83.193960253569671</v>
      </c>
      <c r="H50" s="153">
        <v>98.534386349129562</v>
      </c>
      <c r="I50" s="153">
        <v>99.880847792882861</v>
      </c>
      <c r="J50" s="153">
        <v>105.55970085439719</v>
      </c>
      <c r="K50" s="153">
        <v>121.95435060842436</v>
      </c>
      <c r="L50" s="153">
        <v>123.13540537905237</v>
      </c>
      <c r="M50" s="153"/>
      <c r="N50" s="153"/>
    </row>
    <row r="51" spans="2:14">
      <c r="D51" s="153"/>
      <c r="E51" s="153"/>
      <c r="F51" s="153"/>
      <c r="G51" s="153"/>
      <c r="H51" s="153"/>
      <c r="I51" s="153"/>
      <c r="J51" s="153"/>
      <c r="K51" s="153"/>
      <c r="L51" s="153"/>
    </row>
    <row r="52" spans="2:14" ht="30.75">
      <c r="B52" s="171" t="s">
        <v>135</v>
      </c>
      <c r="C52" s="172"/>
      <c r="D52" s="173" t="s">
        <v>136</v>
      </c>
      <c r="E52" s="173" t="s">
        <v>136</v>
      </c>
      <c r="F52" s="173" t="s">
        <v>137</v>
      </c>
      <c r="G52" s="173" t="s">
        <v>137</v>
      </c>
      <c r="H52" s="173" t="s">
        <v>138</v>
      </c>
      <c r="I52" s="173" t="s">
        <v>138</v>
      </c>
      <c r="J52" s="172"/>
      <c r="K52" s="173" t="s">
        <v>139</v>
      </c>
      <c r="L52" s="173" t="s">
        <v>139</v>
      </c>
      <c r="M52" s="173" t="s">
        <v>140</v>
      </c>
      <c r="N52" s="173" t="s">
        <v>140</v>
      </c>
    </row>
    <row r="53" spans="2:14" ht="18.75">
      <c r="B53" s="172" t="s">
        <v>141</v>
      </c>
      <c r="C53" s="174"/>
      <c r="D53" s="175">
        <v>2012</v>
      </c>
      <c r="E53" s="175">
        <v>2015</v>
      </c>
      <c r="F53" s="175">
        <v>2012</v>
      </c>
      <c r="G53" s="175">
        <v>2015</v>
      </c>
      <c r="H53" s="175">
        <v>2012</v>
      </c>
      <c r="I53" s="175">
        <v>2015</v>
      </c>
      <c r="J53" s="172"/>
      <c r="K53" s="175">
        <v>2012</v>
      </c>
      <c r="L53" s="175">
        <v>2015</v>
      </c>
      <c r="M53" s="175">
        <v>2012</v>
      </c>
      <c r="N53" s="175">
        <v>2015</v>
      </c>
    </row>
    <row r="54" spans="2:14">
      <c r="B54" s="153"/>
      <c r="C54" s="153" t="s">
        <v>142</v>
      </c>
      <c r="D54" s="153">
        <v>9.73</v>
      </c>
      <c r="E54" s="153">
        <v>9.9309999999999992</v>
      </c>
      <c r="F54" s="153">
        <v>4133581</v>
      </c>
      <c r="G54" s="153">
        <v>3613728</v>
      </c>
      <c r="H54" s="153">
        <f>+F54/D54/1000</f>
        <v>424.82846865364849</v>
      </c>
      <c r="I54" s="153">
        <f>+G54/E54/1000</f>
        <v>363.88359681804457</v>
      </c>
      <c r="J54" s="172"/>
      <c r="K54" s="153">
        <v>4572338</v>
      </c>
      <c r="L54" s="153">
        <v>7142543</v>
      </c>
      <c r="M54" s="153">
        <f>+K54/D54/1000</f>
        <v>469.92168550873583</v>
      </c>
      <c r="N54" s="153">
        <f>+L54/E54/1000</f>
        <v>719.21689658644652</v>
      </c>
    </row>
    <row r="55" spans="2:14">
      <c r="C55" s="153" t="s">
        <v>143</v>
      </c>
      <c r="D55" s="153">
        <v>1.45</v>
      </c>
      <c r="E55" s="153">
        <v>1.958758</v>
      </c>
      <c r="F55" s="153">
        <v>492107</v>
      </c>
      <c r="G55" s="153">
        <v>545126</v>
      </c>
      <c r="H55" s="153">
        <f t="shared" ref="H55:I65" si="6">+F55/D55/1000</f>
        <v>339.3841379310345</v>
      </c>
      <c r="I55" s="153">
        <f t="shared" si="6"/>
        <v>278.30186271096278</v>
      </c>
      <c r="J55" s="172"/>
      <c r="K55" s="153">
        <v>1159324</v>
      </c>
      <c r="L55" s="153">
        <v>1166227</v>
      </c>
      <c r="M55" s="153">
        <f t="shared" ref="M55:N65" si="7">+K55/D55/1000</f>
        <v>799.53379310344837</v>
      </c>
      <c r="N55" s="153">
        <f t="shared" si="7"/>
        <v>595.39105902822098</v>
      </c>
    </row>
    <row r="56" spans="2:14">
      <c r="C56" s="153" t="s">
        <v>144</v>
      </c>
      <c r="D56" s="153">
        <v>2.0099999999999998</v>
      </c>
      <c r="E56" s="153">
        <v>2.2474850000000002</v>
      </c>
      <c r="F56" s="153">
        <v>484612</v>
      </c>
      <c r="G56" s="153">
        <v>536168</v>
      </c>
      <c r="H56" s="153">
        <f t="shared" si="6"/>
        <v>241.10049751243784</v>
      </c>
      <c r="I56" s="153">
        <f t="shared" si="6"/>
        <v>238.56354992358121</v>
      </c>
      <c r="J56" s="172"/>
      <c r="K56" s="153">
        <v>862214</v>
      </c>
      <c r="L56" s="153">
        <v>1472437</v>
      </c>
      <c r="M56" s="153">
        <f t="shared" si="7"/>
        <v>428.96218905472637</v>
      </c>
      <c r="N56" s="153">
        <f t="shared" si="7"/>
        <v>655.14875516410552</v>
      </c>
    </row>
    <row r="57" spans="2:14">
      <c r="C57" s="153" t="s">
        <v>145</v>
      </c>
      <c r="D57" s="153">
        <v>1.24</v>
      </c>
      <c r="E57" s="153">
        <v>1.506</v>
      </c>
      <c r="F57" s="153">
        <v>150500</v>
      </c>
      <c r="G57" s="153">
        <v>131700</v>
      </c>
      <c r="H57" s="153">
        <f t="shared" si="6"/>
        <v>121.37096774193549</v>
      </c>
      <c r="I57" s="153">
        <f t="shared" si="6"/>
        <v>87.450199203187253</v>
      </c>
      <c r="J57" s="172"/>
      <c r="K57" s="153">
        <v>490100</v>
      </c>
      <c r="L57" s="153">
        <v>643600</v>
      </c>
      <c r="M57" s="153">
        <f t="shared" si="7"/>
        <v>395.24193548387098</v>
      </c>
      <c r="N57" s="153">
        <f t="shared" si="7"/>
        <v>427.35723771580342</v>
      </c>
    </row>
    <row r="58" spans="2:14">
      <c r="C58" s="153" t="s">
        <v>146</v>
      </c>
      <c r="D58" s="153">
        <v>2.81</v>
      </c>
      <c r="E58" s="153">
        <v>2.9729990000000002</v>
      </c>
      <c r="F58" s="153">
        <v>486852</v>
      </c>
      <c r="G58" s="153">
        <v>405892</v>
      </c>
      <c r="H58" s="153">
        <f t="shared" si="6"/>
        <v>173.25693950177936</v>
      </c>
      <c r="I58" s="153">
        <f t="shared" si="6"/>
        <v>136.52611386683949</v>
      </c>
      <c r="J58" s="172"/>
      <c r="K58" s="153">
        <v>306302</v>
      </c>
      <c r="L58" s="153">
        <v>215282</v>
      </c>
      <c r="M58" s="153">
        <f t="shared" si="7"/>
        <v>109.00427046263344</v>
      </c>
      <c r="N58" s="153">
        <f t="shared" si="7"/>
        <v>72.412402425967855</v>
      </c>
    </row>
    <row r="59" spans="2:14">
      <c r="C59" s="153" t="s">
        <v>147</v>
      </c>
      <c r="D59" s="153">
        <v>4.4000000000000004</v>
      </c>
      <c r="E59" s="153">
        <v>4.7</v>
      </c>
      <c r="F59" s="153">
        <v>1069047</v>
      </c>
      <c r="G59" s="153">
        <v>1121480</v>
      </c>
      <c r="H59" s="153">
        <f t="shared" si="6"/>
        <v>242.96522727272728</v>
      </c>
      <c r="I59" s="153">
        <f t="shared" si="6"/>
        <v>238.61276595744681</v>
      </c>
      <c r="J59" s="172"/>
      <c r="K59" s="153">
        <v>2896164</v>
      </c>
      <c r="L59" s="153">
        <v>2962094</v>
      </c>
      <c r="M59" s="153">
        <f t="shared" si="7"/>
        <v>658.21909090909082</v>
      </c>
      <c r="N59" s="153">
        <f t="shared" si="7"/>
        <v>630.23276595744676</v>
      </c>
    </row>
    <row r="60" spans="2:14">
      <c r="C60" s="153" t="s">
        <v>148</v>
      </c>
      <c r="D60" s="153">
        <v>5.08</v>
      </c>
      <c r="E60" s="153">
        <v>5.4</v>
      </c>
      <c r="F60" s="153">
        <v>835766</v>
      </c>
      <c r="G60" s="153">
        <v>928236</v>
      </c>
      <c r="H60" s="153">
        <f t="shared" si="6"/>
        <v>164.52086614173228</v>
      </c>
      <c r="I60" s="153">
        <f t="shared" si="6"/>
        <v>171.89555555555555</v>
      </c>
      <c r="J60" s="172"/>
      <c r="K60" s="153">
        <v>2432889</v>
      </c>
      <c r="L60" s="153">
        <v>3111678</v>
      </c>
      <c r="M60" s="153">
        <f t="shared" si="7"/>
        <v>478.91515748031497</v>
      </c>
      <c r="N60" s="153">
        <f t="shared" si="7"/>
        <v>576.23666666666668</v>
      </c>
    </row>
    <row r="61" spans="2:14">
      <c r="C61" s="153" t="s">
        <v>149</v>
      </c>
      <c r="D61" s="153">
        <v>6.15</v>
      </c>
      <c r="E61" s="153">
        <v>6.6349999999999998</v>
      </c>
      <c r="F61" s="153">
        <v>1698799</v>
      </c>
      <c r="G61" s="153">
        <v>1407403</v>
      </c>
      <c r="H61" s="153">
        <f t="shared" si="6"/>
        <v>276.22747967479677</v>
      </c>
      <c r="I61" s="153">
        <f t="shared" si="6"/>
        <v>212.11801055011304</v>
      </c>
      <c r="J61" s="172"/>
      <c r="K61" s="153">
        <v>3440338</v>
      </c>
      <c r="L61" s="153">
        <v>3313898</v>
      </c>
      <c r="M61" s="153">
        <f t="shared" si="7"/>
        <v>559.40455284552843</v>
      </c>
      <c r="N61" s="153">
        <f t="shared" si="7"/>
        <v>499.45712132629995</v>
      </c>
    </row>
    <row r="62" spans="2:14">
      <c r="C62" s="153" t="s">
        <v>150</v>
      </c>
      <c r="D62" s="153">
        <v>8.6999999999999993</v>
      </c>
      <c r="E62" s="153">
        <v>8.9719999999999995</v>
      </c>
      <c r="F62" s="153">
        <v>2727000</v>
      </c>
      <c r="G62" s="153">
        <v>2727000</v>
      </c>
      <c r="H62" s="153">
        <f t="shared" si="6"/>
        <v>313.44827586206901</v>
      </c>
      <c r="I62" s="153">
        <f t="shared" si="6"/>
        <v>303.94560855996434</v>
      </c>
      <c r="J62" s="172"/>
      <c r="K62" s="153">
        <v>4499000</v>
      </c>
      <c r="L62" s="153">
        <v>5067000</v>
      </c>
      <c r="M62" s="153">
        <f t="shared" si="7"/>
        <v>517.1264367816093</v>
      </c>
      <c r="N62" s="153">
        <f t="shared" si="7"/>
        <v>564.75702184574232</v>
      </c>
    </row>
    <row r="63" spans="2:14">
      <c r="C63" s="153" t="s">
        <v>151</v>
      </c>
      <c r="D63" s="153">
        <v>9.7200000000000006</v>
      </c>
      <c r="E63" s="153">
        <v>9.8000000000000007</v>
      </c>
      <c r="F63" s="153">
        <v>2454755</v>
      </c>
      <c r="G63" s="153">
        <v>2054543</v>
      </c>
      <c r="H63" s="153">
        <f t="shared" si="6"/>
        <v>252.54681069958846</v>
      </c>
      <c r="I63" s="153">
        <f t="shared" si="6"/>
        <v>209.64724489795918</v>
      </c>
      <c r="J63" s="172"/>
      <c r="K63" s="153">
        <v>5531380</v>
      </c>
      <c r="L63" s="153">
        <v>5483117</v>
      </c>
      <c r="M63" s="153">
        <f t="shared" si="7"/>
        <v>569.07201646090527</v>
      </c>
      <c r="N63" s="153">
        <f t="shared" si="7"/>
        <v>559.50173469387755</v>
      </c>
    </row>
    <row r="64" spans="2:14">
      <c r="C64" s="153" t="s">
        <v>152</v>
      </c>
      <c r="D64" s="153">
        <v>2.52</v>
      </c>
      <c r="E64" s="153">
        <v>2.808926</v>
      </c>
      <c r="F64" s="153">
        <v>617132.65220000013</v>
      </c>
      <c r="G64" s="153">
        <v>662478</v>
      </c>
      <c r="H64" s="153">
        <f t="shared" si="6"/>
        <v>244.89390960317465</v>
      </c>
      <c r="I64" s="153">
        <f t="shared" si="6"/>
        <v>235.84743777514964</v>
      </c>
      <c r="J64" s="172"/>
      <c r="K64" s="153">
        <v>559059.74650000001</v>
      </c>
      <c r="L64" s="153">
        <v>648112</v>
      </c>
      <c r="M64" s="153">
        <f t="shared" si="7"/>
        <v>221.84910575396827</v>
      </c>
      <c r="N64" s="153">
        <f t="shared" si="7"/>
        <v>230.73302749876643</v>
      </c>
    </row>
    <row r="65" spans="2:19">
      <c r="C65" s="153" t="s">
        <v>153</v>
      </c>
      <c r="D65" s="153">
        <v>4.7699999999999996</v>
      </c>
      <c r="E65" s="153">
        <v>4.9648370000000002</v>
      </c>
      <c r="F65" s="153">
        <v>877211</v>
      </c>
      <c r="G65" s="153">
        <v>816952</v>
      </c>
      <c r="H65" s="153">
        <f t="shared" si="6"/>
        <v>183.90167714884697</v>
      </c>
      <c r="I65" s="153">
        <f t="shared" si="6"/>
        <v>164.54759743371233</v>
      </c>
      <c r="J65" s="172"/>
      <c r="K65" s="153">
        <v>1533990</v>
      </c>
      <c r="L65" s="153">
        <v>1753243</v>
      </c>
      <c r="M65" s="153">
        <f t="shared" si="7"/>
        <v>321.59119496855351</v>
      </c>
      <c r="N65" s="153">
        <f t="shared" si="7"/>
        <v>353.13203635889755</v>
      </c>
    </row>
    <row r="66" spans="2:19">
      <c r="C66" s="155" t="s">
        <v>154</v>
      </c>
      <c r="D66" s="155">
        <f>+SUM(D54:D65)</f>
        <v>58.58</v>
      </c>
      <c r="E66" s="155">
        <f>+SUM(E54:E65)</f>
        <v>61.897005000000007</v>
      </c>
      <c r="F66" s="155">
        <f>+SUM(F54:F65)</f>
        <v>16027362.6522</v>
      </c>
      <c r="G66" s="155">
        <f>+SUM(G54:G65)</f>
        <v>14950706</v>
      </c>
      <c r="H66" s="155"/>
      <c r="I66" s="155"/>
      <c r="J66" s="172"/>
      <c r="K66" s="155">
        <f>+SUM(K54:K65)</f>
        <v>28283098.7465</v>
      </c>
      <c r="L66" s="155">
        <f>+SUM(L54:L65)</f>
        <v>32979231</v>
      </c>
      <c r="M66" s="155"/>
      <c r="N66" s="155"/>
    </row>
    <row r="67" spans="2:19">
      <c r="C67" s="155" t="s">
        <v>155</v>
      </c>
      <c r="D67" s="155"/>
      <c r="E67" s="155"/>
      <c r="F67" s="155"/>
      <c r="G67" s="155"/>
      <c r="H67" s="155">
        <f>+SUMPRODUCT(H54:H65,D54:D65)/SUM(D54:D65)</f>
        <v>273.59786022874704</v>
      </c>
      <c r="I67" s="155">
        <f>+SUMPRODUCT(I54:I65,E54:E65)/SUM(E54:E65)</f>
        <v>241.54167071573164</v>
      </c>
      <c r="J67" s="155"/>
      <c r="K67" s="155"/>
      <c r="L67" s="155"/>
      <c r="M67" s="155">
        <f>+SUMPRODUCT(M54:M65,D54:D65)/SUM(D54:D65)</f>
        <v>482.81151837657904</v>
      </c>
      <c r="N67" s="155">
        <f>+SUMPRODUCT(N54:N65,E54:E65)/SUM(E54:E65)</f>
        <v>532.80818676121737</v>
      </c>
      <c r="O67" s="158"/>
    </row>
    <row r="68" spans="2:19">
      <c r="C68" s="155" t="s">
        <v>156</v>
      </c>
      <c r="D68" s="176">
        <f>+D66/H98</f>
        <v>0.84024988971279124</v>
      </c>
      <c r="E68" s="176">
        <f>+E66/E50</f>
        <v>0.77326963822660844</v>
      </c>
      <c r="F68" s="153"/>
      <c r="G68" s="153"/>
      <c r="H68" s="153"/>
      <c r="I68" s="153"/>
      <c r="J68" s="153"/>
      <c r="K68" s="153"/>
      <c r="L68" s="153"/>
      <c r="M68" s="153"/>
      <c r="N68" s="153"/>
    </row>
    <row r="69" spans="2:19">
      <c r="L69" s="177"/>
      <c r="M69" s="177"/>
      <c r="N69" s="177"/>
      <c r="O69" s="177"/>
      <c r="P69" s="177"/>
      <c r="Q69" s="177"/>
      <c r="R69" s="177"/>
      <c r="S69" s="178"/>
    </row>
    <row r="70" spans="2:19" s="182" customFormat="1" ht="18.75">
      <c r="B70" s="179" t="s">
        <v>157</v>
      </c>
      <c r="C70" s="180"/>
      <c r="D70" s="180"/>
      <c r="E70" s="180"/>
      <c r="F70" s="180"/>
      <c r="G70" s="180"/>
      <c r="H70" s="181">
        <v>2012</v>
      </c>
      <c r="I70" s="181">
        <v>2013</v>
      </c>
      <c r="J70" s="181">
        <v>2014</v>
      </c>
      <c r="K70" s="181">
        <v>2015</v>
      </c>
      <c r="L70" s="181">
        <v>2020</v>
      </c>
      <c r="M70" s="181">
        <v>2025</v>
      </c>
      <c r="N70" s="181">
        <v>2030</v>
      </c>
      <c r="O70" s="181">
        <v>2035</v>
      </c>
      <c r="P70" s="181">
        <v>2040</v>
      </c>
      <c r="Q70" s="181">
        <v>2045</v>
      </c>
      <c r="R70" s="181">
        <v>2050</v>
      </c>
    </row>
    <row r="71" spans="2:19">
      <c r="B71" s="183" t="s">
        <v>158</v>
      </c>
      <c r="F71" s="184"/>
      <c r="G71" s="184"/>
      <c r="H71" s="185"/>
      <c r="I71" s="185"/>
      <c r="J71" s="186">
        <f>+D45</f>
        <v>2541.2199103500957</v>
      </c>
      <c r="K71" s="115">
        <f>+J71+(M71-J71)/11</f>
        <v>2446.8704531901412</v>
      </c>
      <c r="L71" s="115">
        <f>+P96</f>
        <v>1975.1231673903681</v>
      </c>
      <c r="M71" s="115">
        <f t="shared" ref="M71:R72" si="8">+E45</f>
        <v>1503.3758815905951</v>
      </c>
      <c r="N71" s="115">
        <f t="shared" si="8"/>
        <v>1067.0147008642598</v>
      </c>
      <c r="O71" s="115">
        <f t="shared" si="8"/>
        <v>703.61655243173129</v>
      </c>
      <c r="P71" s="115">
        <f t="shared" si="8"/>
        <v>390.27455833181284</v>
      </c>
      <c r="Q71" s="115">
        <f t="shared" si="8"/>
        <v>115.79374308665336</v>
      </c>
      <c r="R71" s="115">
        <f t="shared" si="8"/>
        <v>-48.86959656158097</v>
      </c>
    </row>
    <row r="72" spans="2:19">
      <c r="B72" s="183" t="s">
        <v>159</v>
      </c>
      <c r="F72" s="184"/>
      <c r="G72" s="184"/>
      <c r="H72" s="185"/>
      <c r="I72" s="185"/>
      <c r="J72" s="186">
        <f>+J97</f>
        <v>2261.4131158700566</v>
      </c>
      <c r="K72" s="115">
        <f>+J72+(M72-J72)/11</f>
        <v>2215.6503742787227</v>
      </c>
      <c r="L72" s="115">
        <f>+P97</f>
        <v>1986.8366663220536</v>
      </c>
      <c r="M72" s="115">
        <f t="shared" si="8"/>
        <v>1758.0229583653845</v>
      </c>
      <c r="N72" s="115">
        <f t="shared" si="8"/>
        <v>1556.4211729028684</v>
      </c>
      <c r="O72" s="115">
        <f t="shared" si="8"/>
        <v>1471.7679548378192</v>
      </c>
      <c r="P72" s="115">
        <f t="shared" si="8"/>
        <v>1398.7912315782582</v>
      </c>
      <c r="Q72" s="115">
        <f t="shared" si="8"/>
        <v>1276.1567698813833</v>
      </c>
      <c r="R72" s="115">
        <f t="shared" si="8"/>
        <v>1155.4655546856948</v>
      </c>
    </row>
    <row r="73" spans="2:19">
      <c r="B73" s="183" t="s">
        <v>160</v>
      </c>
      <c r="F73" s="184"/>
      <c r="G73" s="184"/>
      <c r="H73" s="187">
        <f>+K66/1000000</f>
        <v>28.283098746500002</v>
      </c>
      <c r="I73" s="184"/>
      <c r="J73" s="184"/>
      <c r="K73" s="187">
        <f>+L66/1000000</f>
        <v>32.979230999999999</v>
      </c>
      <c r="L73" s="184"/>
      <c r="M73" s="184"/>
      <c r="N73" s="184"/>
      <c r="O73" s="184"/>
      <c r="P73" s="184"/>
      <c r="Q73" s="184"/>
      <c r="R73" s="184"/>
    </row>
    <row r="74" spans="2:19">
      <c r="B74" s="183" t="s">
        <v>161</v>
      </c>
      <c r="F74" s="184"/>
      <c r="G74" s="184"/>
      <c r="H74" s="187">
        <f>+F66/1000000</f>
        <v>16.027362652200001</v>
      </c>
      <c r="I74" s="184"/>
      <c r="J74" s="184"/>
      <c r="K74" s="187">
        <f>+G66/1000000</f>
        <v>14.950706</v>
      </c>
      <c r="L74" s="184"/>
      <c r="M74" s="184"/>
      <c r="N74" s="184"/>
      <c r="O74" s="184"/>
      <c r="P74" s="184"/>
      <c r="Q74" s="184"/>
      <c r="R74" s="184"/>
    </row>
    <row r="75" spans="2:19">
      <c r="B75" s="183" t="s">
        <v>162</v>
      </c>
      <c r="C75" s="115"/>
      <c r="F75" s="184"/>
      <c r="G75" s="184"/>
      <c r="H75" s="187">
        <f>+D66</f>
        <v>58.58</v>
      </c>
      <c r="I75" s="184"/>
      <c r="J75" s="184"/>
      <c r="K75" s="187">
        <f>+E66</f>
        <v>61.897005000000007</v>
      </c>
      <c r="L75" s="184"/>
      <c r="M75" s="184"/>
      <c r="N75" s="184"/>
      <c r="O75" s="184"/>
      <c r="P75" s="184"/>
      <c r="Q75" s="184"/>
      <c r="R75" s="184"/>
    </row>
    <row r="76" spans="2:19">
      <c r="B76" s="183" t="s">
        <v>163</v>
      </c>
      <c r="F76" s="184"/>
      <c r="G76" s="184"/>
      <c r="H76" s="187">
        <f>+H73*H98/H75</f>
        <v>33.66034211104455</v>
      </c>
      <c r="I76" s="115">
        <f>+$H76-($H76-$K76)/3*(I$70-$H$70)</f>
        <v>36.656584771043129</v>
      </c>
      <c r="J76" s="115">
        <f>+$H76-($H76-$K76)/3*(J$70-$H$70)</f>
        <v>39.652827431041715</v>
      </c>
      <c r="K76" s="186">
        <f>+K73*K98/K75</f>
        <v>42.649070091040294</v>
      </c>
      <c r="L76" s="115">
        <f>+$K76*L71/$K71</f>
        <v>34.426492131875612</v>
      </c>
      <c r="M76" s="115">
        <f t="shared" ref="M76:R77" si="9">+$K76*M71/$K71</f>
        <v>26.203914172710938</v>
      </c>
      <c r="N76" s="115">
        <f t="shared" si="9"/>
        <v>18.598117732796023</v>
      </c>
      <c r="O76" s="115">
        <f t="shared" si="9"/>
        <v>12.264070467136058</v>
      </c>
      <c r="P76" s="115">
        <f t="shared" si="9"/>
        <v>6.8025043873255857</v>
      </c>
      <c r="Q76" s="115">
        <f t="shared" si="9"/>
        <v>2.0182905304888372</v>
      </c>
      <c r="R76" s="115">
        <f t="shared" si="9"/>
        <v>-0.8517994266342821</v>
      </c>
    </row>
    <row r="77" spans="2:19">
      <c r="B77" s="183" t="s">
        <v>164</v>
      </c>
      <c r="F77" s="184"/>
      <c r="G77" s="184"/>
      <c r="H77" s="187">
        <f>+H74*H98/H75</f>
        <v>19.074519197709588</v>
      </c>
      <c r="I77" s="115">
        <f>+$H77-($H77-$K77)/3*(I$70-$H$70)</f>
        <v>19.16114678128724</v>
      </c>
      <c r="J77" s="115">
        <f>+$H77-($H77-$K77)/3*(J$70-$H$70)</f>
        <v>19.247774364864892</v>
      </c>
      <c r="K77" s="186">
        <f>+K74*K98/K75</f>
        <v>19.334401948442544</v>
      </c>
      <c r="L77" s="115">
        <f>+$K77*L72/$K72</f>
        <v>17.337707771281149</v>
      </c>
      <c r="M77" s="115">
        <f t="shared" si="9"/>
        <v>15.341013594119758</v>
      </c>
      <c r="N77" s="115">
        <f t="shared" si="9"/>
        <v>13.581778473404983</v>
      </c>
      <c r="O77" s="115">
        <f t="shared" si="9"/>
        <v>12.843070163059929</v>
      </c>
      <c r="P77" s="115">
        <f t="shared" si="9"/>
        <v>12.206254302236252</v>
      </c>
      <c r="Q77" s="115">
        <f t="shared" si="9"/>
        <v>11.136110744072148</v>
      </c>
      <c r="R77" s="115">
        <f t="shared" si="9"/>
        <v>10.082924513370449</v>
      </c>
    </row>
    <row r="78" spans="2:19">
      <c r="B78" s="183" t="s">
        <v>165</v>
      </c>
      <c r="F78" s="184"/>
      <c r="G78" s="184"/>
      <c r="H78" s="115">
        <f>+H76/H98*1000</f>
        <v>482.8115183765791</v>
      </c>
      <c r="I78" s="115">
        <f>+I76/I98*1000</f>
        <v>501.04559327886631</v>
      </c>
      <c r="J78" s="115">
        <f>+J76/J98*1000</f>
        <v>517.64065435965358</v>
      </c>
      <c r="K78" s="115">
        <f>+K76/K98*1000</f>
        <v>532.80818676121714</v>
      </c>
      <c r="L78" s="115">
        <f t="shared" ref="L78:R78" si="10">+L76/F50*1000</f>
        <v>407.35003316137016</v>
      </c>
      <c r="M78" s="115">
        <f t="shared" si="10"/>
        <v>314.97375642225882</v>
      </c>
      <c r="N78" s="115">
        <f t="shared" si="10"/>
        <v>188.7474862521465</v>
      </c>
      <c r="O78" s="115">
        <f t="shared" si="10"/>
        <v>122.7870081015667</v>
      </c>
      <c r="P78" s="115">
        <f t="shared" si="10"/>
        <v>64.442247678482516</v>
      </c>
      <c r="Q78" s="115">
        <f t="shared" si="10"/>
        <v>16.549557440301911</v>
      </c>
      <c r="R78" s="115">
        <f t="shared" si="10"/>
        <v>-6.9175833222959371</v>
      </c>
    </row>
    <row r="79" spans="2:19">
      <c r="B79" s="183" t="s">
        <v>166</v>
      </c>
      <c r="F79" s="184"/>
      <c r="G79" s="184"/>
      <c r="H79" s="115">
        <f>+H77/H98*1000</f>
        <v>273.59786022874698</v>
      </c>
      <c r="I79" s="115">
        <f>+I77/I98*1000</f>
        <v>261.90678201198671</v>
      </c>
      <c r="J79" s="115">
        <f>+J77/J98*1000</f>
        <v>251.26658457136608</v>
      </c>
      <c r="K79" s="115">
        <f>+K77/K98*1000</f>
        <v>241.54167071573167</v>
      </c>
      <c r="L79" s="115">
        <f t="shared" ref="L79:R79" si="11">+L77/F50*1000</f>
        <v>205.14770452126061</v>
      </c>
      <c r="M79" s="115">
        <f t="shared" si="11"/>
        <v>184.40056883169603</v>
      </c>
      <c r="N79" s="115">
        <f t="shared" si="11"/>
        <v>137.83795664268592</v>
      </c>
      <c r="O79" s="115">
        <f t="shared" si="11"/>
        <v>128.58391219998313</v>
      </c>
      <c r="P79" s="115">
        <f t="shared" si="11"/>
        <v>115.63365757423693</v>
      </c>
      <c r="Q79" s="115">
        <f t="shared" si="11"/>
        <v>91.313763621507789</v>
      </c>
      <c r="R79" s="115">
        <f t="shared" si="11"/>
        <v>81.884852551805068</v>
      </c>
    </row>
    <row r="80" spans="2:19">
      <c r="B80" s="183"/>
    </row>
    <row r="81" spans="2:48" ht="18.75">
      <c r="B81" s="183"/>
      <c r="F81" s="179" t="s">
        <v>167</v>
      </c>
      <c r="G81" s="180"/>
      <c r="H81" s="180"/>
      <c r="I81" s="180"/>
      <c r="J81" s="180"/>
      <c r="K81" s="181">
        <v>2014</v>
      </c>
      <c r="L81" s="181">
        <v>2025</v>
      </c>
      <c r="M81" s="181">
        <v>2030</v>
      </c>
      <c r="N81" s="181">
        <v>2035</v>
      </c>
      <c r="O81" s="181">
        <v>2040</v>
      </c>
      <c r="P81" s="181">
        <v>2045</v>
      </c>
      <c r="Q81" s="181">
        <v>2050</v>
      </c>
    </row>
    <row r="82" spans="2:48">
      <c r="G82" s="183" t="s">
        <v>168</v>
      </c>
      <c r="J82" s="115"/>
      <c r="K82" s="115">
        <f>(J77+J76)/(J72+J71)*D42/J98*1000</f>
        <v>8449.8833509430169</v>
      </c>
      <c r="L82" s="115">
        <f t="shared" ref="L82:Q82" si="12">(K77+K76)/(K72+K71)*E42/G50*1000</f>
        <v>8198.2418553280822</v>
      </c>
      <c r="M82" s="115">
        <f t="shared" si="12"/>
        <v>6711.3249655649388</v>
      </c>
      <c r="N82" s="115">
        <f t="shared" si="12"/>
        <v>6731.4514689890539</v>
      </c>
      <c r="O82" s="115">
        <f t="shared" si="12"/>
        <v>6354.4438268795848</v>
      </c>
      <c r="P82" s="115">
        <f t="shared" si="12"/>
        <v>5254.6905359794046</v>
      </c>
      <c r="Q82" s="115">
        <f t="shared" si="12"/>
        <v>4969.851104127074</v>
      </c>
    </row>
    <row r="83" spans="2:48">
      <c r="G83" s="183" t="s">
        <v>169</v>
      </c>
      <c r="K83" s="115"/>
      <c r="L83" s="188">
        <f t="shared" ref="L83:Q83" si="13">1-L82/$K82</f>
        <v>2.9780469760786854E-2</v>
      </c>
      <c r="M83" s="188">
        <f t="shared" si="13"/>
        <v>0.20574939477526077</v>
      </c>
      <c r="N83" s="188">
        <f t="shared" si="13"/>
        <v>0.20336752716973117</v>
      </c>
      <c r="O83" s="188">
        <f t="shared" si="13"/>
        <v>0.24798443209628196</v>
      </c>
      <c r="P83" s="188">
        <f t="shared" si="13"/>
        <v>0.37813454721916662</v>
      </c>
      <c r="Q83" s="188">
        <f t="shared" si="13"/>
        <v>0.41184382106618866</v>
      </c>
      <c r="R83" s="189" t="s">
        <v>170</v>
      </c>
    </row>
    <row r="84" spans="2:48">
      <c r="G84" s="183" t="s">
        <v>171</v>
      </c>
      <c r="K84" s="115"/>
      <c r="L84" s="188">
        <f t="shared" ref="L84:Q84" si="14">1-E30/$D30</f>
        <v>0.42278957548939378</v>
      </c>
      <c r="M84" s="188">
        <f t="shared" si="14"/>
        <v>0.60003366213305154</v>
      </c>
      <c r="N84" s="188">
        <f t="shared" si="14"/>
        <v>0.75405768758838698</v>
      </c>
      <c r="O84" s="188">
        <f t="shared" si="14"/>
        <v>0.87428250560786869</v>
      </c>
      <c r="P84" s="188">
        <f t="shared" si="14"/>
        <v>0.96443044591353977</v>
      </c>
      <c r="Q84" s="188">
        <f t="shared" si="14"/>
        <v>1.0140289293989975</v>
      </c>
      <c r="R84" s="189" t="s">
        <v>170</v>
      </c>
      <c r="S84" s="190"/>
      <c r="T84" s="190"/>
    </row>
    <row r="85" spans="2:48">
      <c r="G85" s="183" t="s">
        <v>185</v>
      </c>
      <c r="K85" s="115"/>
      <c r="L85" s="191">
        <f t="shared" ref="L85:Q85" si="15">1-(M79+M78)/($K79+$K78)</f>
        <v>0.35510503368457014</v>
      </c>
      <c r="M85" s="191">
        <f t="shared" si="15"/>
        <v>0.57824562148311065</v>
      </c>
      <c r="N85" s="191">
        <f t="shared" si="15"/>
        <v>0.67537810219196337</v>
      </c>
      <c r="O85" s="191">
        <f t="shared" si="15"/>
        <v>0.76744890760429951</v>
      </c>
      <c r="P85" s="191">
        <f t="shared" si="15"/>
        <v>0.86070466725046102</v>
      </c>
      <c r="Q85" s="191">
        <f t="shared" si="15"/>
        <v>0.9031868237520263</v>
      </c>
      <c r="R85" s="189" t="s">
        <v>170</v>
      </c>
      <c r="S85" s="190"/>
    </row>
    <row r="86" spans="2:48">
      <c r="G86" s="192" t="s">
        <v>187</v>
      </c>
      <c r="H86" s="159"/>
      <c r="I86" s="159"/>
      <c r="J86" s="159"/>
      <c r="K86" s="193"/>
      <c r="L86" s="194">
        <f t="shared" ref="L86:Q86" si="16">+L83*L85/(L84+L83)</f>
        <v>2.3366978942896171E-2</v>
      </c>
      <c r="M86" s="194">
        <f t="shared" si="16"/>
        <v>0.14764977450392361</v>
      </c>
      <c r="N86" s="194">
        <f t="shared" si="16"/>
        <v>0.14345765332915886</v>
      </c>
      <c r="O86" s="194">
        <f t="shared" si="16"/>
        <v>0.16958120668198343</v>
      </c>
      <c r="P86" s="194">
        <f t="shared" si="16"/>
        <v>0.24241818556638481</v>
      </c>
      <c r="Q86" s="194">
        <f t="shared" si="16"/>
        <v>0.26087314769800762</v>
      </c>
      <c r="R86" s="189" t="s">
        <v>170</v>
      </c>
    </row>
    <row r="87" spans="2:48">
      <c r="G87" s="183" t="s">
        <v>186</v>
      </c>
      <c r="K87" s="115"/>
      <c r="L87" s="188">
        <f t="shared" ref="L87:Q87" si="17">+L84*L85/(L84+L83)</f>
        <v>0.33173805474167395</v>
      </c>
      <c r="M87" s="188">
        <f t="shared" si="17"/>
        <v>0.43059584697918701</v>
      </c>
      <c r="N87" s="188">
        <f t="shared" si="17"/>
        <v>0.53192044886280454</v>
      </c>
      <c r="O87" s="188">
        <f t="shared" si="17"/>
        <v>0.59786770092231611</v>
      </c>
      <c r="P87" s="188">
        <f t="shared" si="17"/>
        <v>0.61828648168407618</v>
      </c>
      <c r="Q87" s="188">
        <f t="shared" si="17"/>
        <v>0.64231367605401879</v>
      </c>
      <c r="R87" s="189" t="s">
        <v>170</v>
      </c>
    </row>
    <row r="89" spans="2:48" ht="18.75">
      <c r="B89" s="195" t="s">
        <v>172</v>
      </c>
      <c r="C89" s="181"/>
      <c r="D89" s="181"/>
      <c r="E89" s="180"/>
      <c r="F89" s="181">
        <v>2010</v>
      </c>
      <c r="G89" s="181">
        <v>2011</v>
      </c>
      <c r="H89" s="181">
        <v>2012</v>
      </c>
      <c r="I89" s="181">
        <v>2013</v>
      </c>
      <c r="J89" s="181">
        <v>2014</v>
      </c>
      <c r="K89" s="181">
        <v>2015</v>
      </c>
      <c r="L89" s="181">
        <v>2016</v>
      </c>
      <c r="M89" s="181">
        <v>2017</v>
      </c>
      <c r="N89" s="181">
        <v>2018</v>
      </c>
      <c r="O89" s="181">
        <v>2019</v>
      </c>
      <c r="P89" s="181">
        <v>2020</v>
      </c>
      <c r="Q89" s="181">
        <v>2021</v>
      </c>
      <c r="R89" s="181">
        <v>2022</v>
      </c>
      <c r="S89" s="181">
        <v>2023</v>
      </c>
      <c r="T89" s="181">
        <v>2024</v>
      </c>
      <c r="U89" s="181">
        <v>2025</v>
      </c>
      <c r="V89" s="181">
        <v>2026</v>
      </c>
      <c r="W89" s="181">
        <v>2027</v>
      </c>
      <c r="X89" s="181">
        <v>2028</v>
      </c>
      <c r="Y89" s="181">
        <v>2029</v>
      </c>
      <c r="Z89" s="181">
        <v>2030</v>
      </c>
      <c r="AA89" s="181">
        <v>2031</v>
      </c>
      <c r="AB89" s="181">
        <v>2032</v>
      </c>
      <c r="AC89" s="181">
        <v>2033</v>
      </c>
      <c r="AD89" s="181">
        <v>2034</v>
      </c>
      <c r="AE89" s="181">
        <v>2035</v>
      </c>
      <c r="AF89" s="181">
        <v>2036</v>
      </c>
      <c r="AG89" s="181">
        <v>2037</v>
      </c>
      <c r="AH89" s="181">
        <v>2038</v>
      </c>
      <c r="AI89" s="181">
        <v>2039</v>
      </c>
      <c r="AJ89" s="181">
        <v>2040</v>
      </c>
      <c r="AK89" s="181">
        <v>2041</v>
      </c>
      <c r="AL89" s="181">
        <v>2042</v>
      </c>
      <c r="AM89" s="181">
        <v>2043</v>
      </c>
      <c r="AN89" s="181">
        <v>2044</v>
      </c>
      <c r="AO89" s="181">
        <v>2045</v>
      </c>
      <c r="AP89" s="181">
        <v>2046</v>
      </c>
      <c r="AQ89" s="181">
        <v>2047</v>
      </c>
      <c r="AR89" s="181">
        <v>2048</v>
      </c>
      <c r="AS89" s="181">
        <v>2049</v>
      </c>
      <c r="AT89" s="181">
        <v>2050</v>
      </c>
      <c r="AU89" s="114"/>
    </row>
    <row r="90" spans="2:48">
      <c r="B90" s="83" t="s">
        <v>173</v>
      </c>
      <c r="C90" s="115"/>
      <c r="D90" s="115"/>
      <c r="F90" s="184"/>
      <c r="G90" s="184"/>
      <c r="H90" s="185"/>
      <c r="I90" s="185"/>
      <c r="J90" s="186">
        <f>+D28</f>
        <v>13625.004647</v>
      </c>
      <c r="K90" s="115">
        <f t="shared" ref="K90:T97" si="18">$J90-(($J90-$U90)/(11)*(K$89-$J$89))</f>
        <v>13238.134806684333</v>
      </c>
      <c r="L90" s="115">
        <f t="shared" si="18"/>
        <v>12851.264966368666</v>
      </c>
      <c r="M90" s="115">
        <f t="shared" si="18"/>
        <v>12464.395126052999</v>
      </c>
      <c r="N90" s="115">
        <f t="shared" si="18"/>
        <v>12077.525285737333</v>
      </c>
      <c r="O90" s="115">
        <f t="shared" si="18"/>
        <v>11690.655445421668</v>
      </c>
      <c r="P90" s="115">
        <f t="shared" si="18"/>
        <v>11303.785605106001</v>
      </c>
      <c r="Q90" s="115">
        <f t="shared" si="18"/>
        <v>10916.915764790334</v>
      </c>
      <c r="R90" s="115">
        <f t="shared" si="18"/>
        <v>10530.045924474667</v>
      </c>
      <c r="S90" s="115">
        <f t="shared" si="18"/>
        <v>10143.176084159</v>
      </c>
      <c r="T90" s="115">
        <f t="shared" si="18"/>
        <v>9756.3062438433335</v>
      </c>
      <c r="U90" s="186">
        <f>+E28</f>
        <v>9369.4364035276667</v>
      </c>
      <c r="V90" s="115">
        <f t="shared" ref="V90:Y100" si="19">$U90-(($U90-$Z90)/(5)*(V$89-$U$89))</f>
        <v>8912.189007806759</v>
      </c>
      <c r="W90" s="115">
        <f t="shared" si="19"/>
        <v>8454.9416120858532</v>
      </c>
      <c r="X90" s="115">
        <f t="shared" si="19"/>
        <v>7997.6942163649455</v>
      </c>
      <c r="Y90" s="115">
        <f t="shared" si="19"/>
        <v>7540.4468206440379</v>
      </c>
      <c r="Z90" s="186">
        <f>+F28</f>
        <v>7083.1994249231311</v>
      </c>
      <c r="AA90" s="115">
        <f t="shared" ref="AA90:AD100" si="20">$Z90-(($Z90-$AE90)/(5)*(AA$89-$Z$89))</f>
        <v>6618.2893447776987</v>
      </c>
      <c r="AB90" s="115">
        <f t="shared" si="20"/>
        <v>6153.3792646322663</v>
      </c>
      <c r="AC90" s="115">
        <f t="shared" si="20"/>
        <v>5688.4691844868339</v>
      </c>
      <c r="AD90" s="115">
        <f t="shared" si="20"/>
        <v>5223.5591043414015</v>
      </c>
      <c r="AE90" s="186">
        <f>+G28</f>
        <v>4758.6490241959691</v>
      </c>
      <c r="AF90" s="115">
        <f t="shared" ref="AF90:AI100" si="21">$AE90-(($AE90-$AJ90)/(5)*(AF$89-$AE$89))</f>
        <v>4339.3000014150048</v>
      </c>
      <c r="AG90" s="115">
        <f t="shared" si="21"/>
        <v>3919.95097863404</v>
      </c>
      <c r="AH90" s="115">
        <f t="shared" si="21"/>
        <v>3500.6019558530757</v>
      </c>
      <c r="AI90" s="115">
        <f t="shared" si="21"/>
        <v>3081.2529330721109</v>
      </c>
      <c r="AJ90" s="186">
        <f>+H28</f>
        <v>2661.9039102911465</v>
      </c>
      <c r="AK90" s="115">
        <f t="shared" ref="AK90:AN100" si="22">$AJ90-(($AJ90-$AO90)/(5)*(AK$89-$AJ$89))</f>
        <v>2294.2550882392611</v>
      </c>
      <c r="AL90" s="115">
        <f t="shared" si="22"/>
        <v>1926.6062661873755</v>
      </c>
      <c r="AM90" s="115">
        <f t="shared" si="22"/>
        <v>1558.9574441354898</v>
      </c>
      <c r="AN90" s="115">
        <f t="shared" si="22"/>
        <v>1191.3086220836044</v>
      </c>
      <c r="AO90" s="186">
        <f>+I28</f>
        <v>823.65980003171899</v>
      </c>
      <c r="AP90" s="115">
        <f t="shared" ref="AP90:AS100" si="23">$AO90-(($AO90-$AT90)/(5)*(AP$89-$AO$89))</f>
        <v>587.79398715934417</v>
      </c>
      <c r="AQ90" s="115">
        <f t="shared" si="23"/>
        <v>351.92817428696924</v>
      </c>
      <c r="AR90" s="115">
        <f t="shared" si="23"/>
        <v>116.06236141459431</v>
      </c>
      <c r="AS90" s="115">
        <f t="shared" si="23"/>
        <v>-119.80345145778051</v>
      </c>
      <c r="AT90" s="186">
        <f>+J28</f>
        <v>-355.66926433015539</v>
      </c>
      <c r="AU90" s="115"/>
    </row>
    <row r="91" spans="2:48">
      <c r="B91" s="83" t="s">
        <v>174</v>
      </c>
      <c r="C91" s="115"/>
      <c r="D91" s="115"/>
      <c r="F91" s="184"/>
      <c r="G91" s="184"/>
      <c r="H91" s="185"/>
      <c r="I91" s="185"/>
      <c r="J91" s="186">
        <f>+D29</f>
        <v>23818.899236000001</v>
      </c>
      <c r="K91" s="115">
        <f t="shared" si="18"/>
        <v>24233.259259908773</v>
      </c>
      <c r="L91" s="115">
        <f t="shared" si="18"/>
        <v>24647.619283817541</v>
      </c>
      <c r="M91" s="115">
        <f t="shared" si="18"/>
        <v>25061.979307726313</v>
      </c>
      <c r="N91" s="115">
        <f t="shared" si="18"/>
        <v>25476.339331635085</v>
      </c>
      <c r="O91" s="115">
        <f t="shared" si="18"/>
        <v>25890.699355543853</v>
      </c>
      <c r="P91" s="115">
        <f t="shared" si="18"/>
        <v>26305.059379452625</v>
      </c>
      <c r="Q91" s="115">
        <f t="shared" si="18"/>
        <v>26719.419403361397</v>
      </c>
      <c r="R91" s="115">
        <f t="shared" si="18"/>
        <v>27133.779427270165</v>
      </c>
      <c r="S91" s="115">
        <f t="shared" si="18"/>
        <v>27548.139451178937</v>
      </c>
      <c r="T91" s="115">
        <f t="shared" si="18"/>
        <v>27962.499475087709</v>
      </c>
      <c r="U91" s="186">
        <f>+E29</f>
        <v>28376.859498996477</v>
      </c>
      <c r="V91" s="115">
        <f t="shared" si="19"/>
        <v>28893.346505709778</v>
      </c>
      <c r="W91" s="115">
        <f t="shared" si="19"/>
        <v>29409.833512423083</v>
      </c>
      <c r="X91" s="115">
        <f t="shared" si="19"/>
        <v>29926.320519136385</v>
      </c>
      <c r="Y91" s="115">
        <f t="shared" si="19"/>
        <v>30442.80752584969</v>
      </c>
      <c r="Z91" s="186">
        <f>+F29</f>
        <v>30959.294532562992</v>
      </c>
      <c r="AA91" s="115">
        <f t="shared" si="20"/>
        <v>31532.398945567642</v>
      </c>
      <c r="AB91" s="115">
        <f t="shared" si="20"/>
        <v>32105.503358572296</v>
      </c>
      <c r="AC91" s="115">
        <f t="shared" si="20"/>
        <v>32678.607771576946</v>
      </c>
      <c r="AD91" s="115">
        <f t="shared" si="20"/>
        <v>33251.7121845816</v>
      </c>
      <c r="AE91" s="186">
        <f>+G29</f>
        <v>33824.81659758625</v>
      </c>
      <c r="AF91" s="115">
        <f t="shared" si="21"/>
        <v>34462.920300872654</v>
      </c>
      <c r="AG91" s="115">
        <f t="shared" si="21"/>
        <v>35101.024004159051</v>
      </c>
      <c r="AH91" s="115">
        <f t="shared" si="21"/>
        <v>35739.127707445456</v>
      </c>
      <c r="AI91" s="115">
        <f t="shared" si="21"/>
        <v>36377.231410731853</v>
      </c>
      <c r="AJ91" s="186">
        <f>+H29</f>
        <v>37015.335114018257</v>
      </c>
      <c r="AK91" s="115">
        <f t="shared" si="22"/>
        <v>37708.528588042922</v>
      </c>
      <c r="AL91" s="115">
        <f t="shared" si="22"/>
        <v>38401.722062067587</v>
      </c>
      <c r="AM91" s="115">
        <f t="shared" si="22"/>
        <v>39094.91553609226</v>
      </c>
      <c r="AN91" s="115">
        <f t="shared" si="22"/>
        <v>39788.109010116925</v>
      </c>
      <c r="AO91" s="186">
        <f>+I29</f>
        <v>40481.30248414159</v>
      </c>
      <c r="AP91" s="115">
        <f t="shared" si="23"/>
        <v>41249.186561090064</v>
      </c>
      <c r="AQ91" s="115">
        <f t="shared" si="23"/>
        <v>42017.070638038545</v>
      </c>
      <c r="AR91" s="115">
        <f t="shared" si="23"/>
        <v>42784.95471498702</v>
      </c>
      <c r="AS91" s="115">
        <f t="shared" si="23"/>
        <v>43552.838791935501</v>
      </c>
      <c r="AT91" s="186">
        <f>+J29</f>
        <v>44320.722868883975</v>
      </c>
      <c r="AU91" s="115"/>
    </row>
    <row r="92" spans="2:48">
      <c r="B92" s="83" t="str">
        <f>+C30</f>
        <v>Power sector intensity (tCO2/MWh)</v>
      </c>
      <c r="C92" s="115"/>
      <c r="D92" s="115"/>
      <c r="F92" s="184"/>
      <c r="G92" s="184"/>
      <c r="H92" s="185"/>
      <c r="I92" s="185"/>
      <c r="J92" s="186">
        <f>+D30</f>
        <v>0.57202495010378573</v>
      </c>
      <c r="K92" s="115">
        <f t="shared" si="18"/>
        <v>0.55003893321072017</v>
      </c>
      <c r="L92" s="115">
        <f t="shared" si="18"/>
        <v>0.52805291631765461</v>
      </c>
      <c r="M92" s="115">
        <f t="shared" si="18"/>
        <v>0.50606689942458905</v>
      </c>
      <c r="N92" s="115">
        <f t="shared" si="18"/>
        <v>0.48408088253152348</v>
      </c>
      <c r="O92" s="115">
        <f t="shared" si="18"/>
        <v>0.46209486563845792</v>
      </c>
      <c r="P92" s="115">
        <f t="shared" si="18"/>
        <v>0.44010884874539236</v>
      </c>
      <c r="Q92" s="115">
        <f t="shared" si="18"/>
        <v>0.41812283185232679</v>
      </c>
      <c r="R92" s="115">
        <f t="shared" si="18"/>
        <v>0.39613681495926123</v>
      </c>
      <c r="S92" s="115">
        <f t="shared" si="18"/>
        <v>0.37415079806619567</v>
      </c>
      <c r="T92" s="115">
        <f t="shared" si="18"/>
        <v>0.3521647811731301</v>
      </c>
      <c r="U92" s="186">
        <f>+E30</f>
        <v>0.33017876428006449</v>
      </c>
      <c r="V92" s="115">
        <f t="shared" si="19"/>
        <v>0.30990115631635862</v>
      </c>
      <c r="W92" s="115">
        <f t="shared" si="19"/>
        <v>0.28962354835265275</v>
      </c>
      <c r="X92" s="115">
        <f t="shared" si="19"/>
        <v>0.26934594038894688</v>
      </c>
      <c r="Y92" s="115">
        <f t="shared" si="19"/>
        <v>0.24906833242524101</v>
      </c>
      <c r="Z92" s="186">
        <f>+F30</f>
        <v>0.22879072446153514</v>
      </c>
      <c r="AA92" s="115">
        <f t="shared" si="20"/>
        <v>0.21116960736636065</v>
      </c>
      <c r="AB92" s="115">
        <f t="shared" si="20"/>
        <v>0.19354849027118615</v>
      </c>
      <c r="AC92" s="115">
        <f t="shared" si="20"/>
        <v>0.17592737317601162</v>
      </c>
      <c r="AD92" s="115">
        <f t="shared" si="20"/>
        <v>0.15830625608083712</v>
      </c>
      <c r="AE92" s="186">
        <f>+G30</f>
        <v>0.14068513898566262</v>
      </c>
      <c r="AF92" s="115">
        <f t="shared" si="21"/>
        <v>0.12693081987989646</v>
      </c>
      <c r="AG92" s="115">
        <f t="shared" si="21"/>
        <v>0.11317650077413033</v>
      </c>
      <c r="AH92" s="115">
        <f t="shared" si="21"/>
        <v>9.9422181668364168E-2</v>
      </c>
      <c r="AI92" s="115">
        <f t="shared" si="21"/>
        <v>8.5667862562598021E-2</v>
      </c>
      <c r="AJ92" s="186">
        <f>+H30</f>
        <v>7.1913543456831874E-2</v>
      </c>
      <c r="AK92" s="115">
        <f t="shared" si="22"/>
        <v>6.1600169245769762E-2</v>
      </c>
      <c r="AL92" s="115">
        <f t="shared" si="22"/>
        <v>5.1286795034707643E-2</v>
      </c>
      <c r="AM92" s="115">
        <f t="shared" si="22"/>
        <v>4.0973420823645523E-2</v>
      </c>
      <c r="AN92" s="115">
        <f t="shared" si="22"/>
        <v>3.0660046612583411E-2</v>
      </c>
      <c r="AO92" s="186">
        <f>+I30</f>
        <v>2.0346672401521292E-2</v>
      </c>
      <c r="AP92" s="115">
        <f t="shared" si="23"/>
        <v>1.4672358393322833E-2</v>
      </c>
      <c r="AQ92" s="115">
        <f t="shared" si="23"/>
        <v>8.9980443851243753E-3</v>
      </c>
      <c r="AR92" s="115">
        <f t="shared" si="23"/>
        <v>3.323730376925918E-3</v>
      </c>
      <c r="AS92" s="115">
        <f t="shared" si="23"/>
        <v>-2.350583631272541E-3</v>
      </c>
      <c r="AT92" s="186">
        <f>+J30</f>
        <v>-8.024897639471E-3</v>
      </c>
      <c r="AU92" s="115"/>
    </row>
    <row r="93" spans="2:48">
      <c r="B93" s="183" t="s">
        <v>175</v>
      </c>
      <c r="C93" s="115"/>
      <c r="D93" s="115"/>
      <c r="F93" s="184"/>
      <c r="G93" s="184"/>
      <c r="H93" s="185"/>
      <c r="I93" s="185"/>
      <c r="J93" s="186">
        <f>+D44</f>
        <v>4442.4983733472254</v>
      </c>
      <c r="K93" s="115">
        <f t="shared" si="18"/>
        <v>4452.5637908828448</v>
      </c>
      <c r="L93" s="115">
        <f t="shared" si="18"/>
        <v>4462.6292084184652</v>
      </c>
      <c r="M93" s="115">
        <f t="shared" si="18"/>
        <v>4472.6946259540846</v>
      </c>
      <c r="N93" s="115">
        <f t="shared" si="18"/>
        <v>4482.760043489704</v>
      </c>
      <c r="O93" s="115">
        <f t="shared" si="18"/>
        <v>4492.8254610253234</v>
      </c>
      <c r="P93" s="115">
        <f t="shared" si="18"/>
        <v>4502.8908785609437</v>
      </c>
      <c r="Q93" s="115">
        <f t="shared" si="18"/>
        <v>4512.9562960965632</v>
      </c>
      <c r="R93" s="115">
        <f t="shared" si="18"/>
        <v>4523.0217136321826</v>
      </c>
      <c r="S93" s="115">
        <f t="shared" si="18"/>
        <v>4533.087131167802</v>
      </c>
      <c r="T93" s="115">
        <f t="shared" si="18"/>
        <v>4543.1525487034223</v>
      </c>
      <c r="U93" s="186">
        <f>+E44</f>
        <v>4553.2179662390417</v>
      </c>
      <c r="V93" s="115">
        <f t="shared" si="19"/>
        <v>4575.3173444342465</v>
      </c>
      <c r="W93" s="115">
        <f t="shared" si="19"/>
        <v>4597.4167226294512</v>
      </c>
      <c r="X93" s="115">
        <f t="shared" si="19"/>
        <v>4619.516100824656</v>
      </c>
      <c r="Y93" s="115">
        <f t="shared" si="19"/>
        <v>4641.6154790198607</v>
      </c>
      <c r="Z93" s="186">
        <f>+F44</f>
        <v>4663.7148572150654</v>
      </c>
      <c r="AA93" s="115">
        <f t="shared" si="20"/>
        <v>4731.2432115208758</v>
      </c>
      <c r="AB93" s="115">
        <f t="shared" si="20"/>
        <v>4798.7715658266861</v>
      </c>
      <c r="AC93" s="115">
        <f t="shared" si="20"/>
        <v>4866.2999201324974</v>
      </c>
      <c r="AD93" s="115">
        <f t="shared" si="20"/>
        <v>4933.8282744383077</v>
      </c>
      <c r="AE93" s="186">
        <f>+G44</f>
        <v>5001.3566287441181</v>
      </c>
      <c r="AF93" s="115">
        <f t="shared" si="21"/>
        <v>5086.4846299415076</v>
      </c>
      <c r="AG93" s="115">
        <f t="shared" si="21"/>
        <v>5171.6126311388971</v>
      </c>
      <c r="AH93" s="115">
        <f t="shared" si="21"/>
        <v>5256.7406323362866</v>
      </c>
      <c r="AI93" s="115">
        <f t="shared" si="21"/>
        <v>5341.8686335336761</v>
      </c>
      <c r="AJ93" s="186">
        <f>+H44</f>
        <v>5426.9966347310656</v>
      </c>
      <c r="AK93" s="115">
        <f t="shared" si="22"/>
        <v>5479.8054707864412</v>
      </c>
      <c r="AL93" s="115">
        <f t="shared" si="22"/>
        <v>5532.6143068418169</v>
      </c>
      <c r="AM93" s="115">
        <f t="shared" si="22"/>
        <v>5585.4231428971925</v>
      </c>
      <c r="AN93" s="115">
        <f t="shared" si="22"/>
        <v>5638.2319789525682</v>
      </c>
      <c r="AO93" s="186">
        <f>+I44</f>
        <v>5691.0408150079438</v>
      </c>
      <c r="AP93" s="115">
        <f t="shared" si="23"/>
        <v>5770.7820578956607</v>
      </c>
      <c r="AQ93" s="115">
        <f t="shared" si="23"/>
        <v>5850.5233007833776</v>
      </c>
      <c r="AR93" s="115">
        <f t="shared" si="23"/>
        <v>5930.2645436710936</v>
      </c>
      <c r="AS93" s="115">
        <f t="shared" si="23"/>
        <v>6010.0057865588105</v>
      </c>
      <c r="AT93" s="186">
        <f>+J44</f>
        <v>6089.7470294465274</v>
      </c>
      <c r="AU93" s="186"/>
      <c r="AV93" s="186"/>
    </row>
    <row r="94" spans="2:48">
      <c r="B94" s="83" t="s">
        <v>176</v>
      </c>
      <c r="F94" s="184"/>
      <c r="G94" s="184"/>
      <c r="H94" s="185"/>
      <c r="I94" s="185"/>
      <c r="J94" s="186">
        <f>+D28</f>
        <v>13625.004647</v>
      </c>
      <c r="K94" s="115">
        <f t="shared" si="18"/>
        <v>13238.134806684333</v>
      </c>
      <c r="L94" s="115">
        <f t="shared" si="18"/>
        <v>12851.264966368666</v>
      </c>
      <c r="M94" s="115">
        <f t="shared" si="18"/>
        <v>12464.395126052999</v>
      </c>
      <c r="N94" s="115">
        <f t="shared" si="18"/>
        <v>12077.525285737333</v>
      </c>
      <c r="O94" s="115">
        <f t="shared" si="18"/>
        <v>11690.655445421668</v>
      </c>
      <c r="P94" s="115">
        <f t="shared" si="18"/>
        <v>11303.785605106001</v>
      </c>
      <c r="Q94" s="115">
        <f t="shared" si="18"/>
        <v>10916.915764790334</v>
      </c>
      <c r="R94" s="115">
        <f t="shared" si="18"/>
        <v>10530.045924474667</v>
      </c>
      <c r="S94" s="115">
        <f t="shared" si="18"/>
        <v>10143.176084159</v>
      </c>
      <c r="T94" s="115">
        <f t="shared" si="18"/>
        <v>9756.3062438433335</v>
      </c>
      <c r="U94" s="186">
        <f>+E28</f>
        <v>9369.4364035276667</v>
      </c>
      <c r="V94" s="115">
        <f t="shared" si="19"/>
        <v>8912.189007806759</v>
      </c>
      <c r="W94" s="115">
        <f t="shared" si="19"/>
        <v>8454.9416120858532</v>
      </c>
      <c r="X94" s="115">
        <f t="shared" si="19"/>
        <v>7997.6942163649455</v>
      </c>
      <c r="Y94" s="115">
        <f t="shared" si="19"/>
        <v>7540.4468206440379</v>
      </c>
      <c r="Z94" s="186">
        <f>+F28</f>
        <v>7083.1994249231311</v>
      </c>
      <c r="AA94" s="115">
        <f t="shared" si="20"/>
        <v>6618.2893447776987</v>
      </c>
      <c r="AB94" s="115">
        <f t="shared" si="20"/>
        <v>6153.3792646322663</v>
      </c>
      <c r="AC94" s="115">
        <f t="shared" si="20"/>
        <v>5688.4691844868339</v>
      </c>
      <c r="AD94" s="115">
        <f t="shared" si="20"/>
        <v>5223.5591043414015</v>
      </c>
      <c r="AE94" s="186">
        <f>+G28</f>
        <v>4758.6490241959691</v>
      </c>
      <c r="AF94" s="115">
        <f t="shared" si="21"/>
        <v>4339.3000014150048</v>
      </c>
      <c r="AG94" s="115">
        <f t="shared" si="21"/>
        <v>3919.95097863404</v>
      </c>
      <c r="AH94" s="115">
        <f t="shared" si="21"/>
        <v>3500.6019558530757</v>
      </c>
      <c r="AI94" s="115">
        <f t="shared" si="21"/>
        <v>3081.2529330721109</v>
      </c>
      <c r="AJ94" s="186">
        <f>+H28</f>
        <v>2661.9039102911465</v>
      </c>
      <c r="AK94" s="115">
        <f t="shared" si="22"/>
        <v>2294.2550882392611</v>
      </c>
      <c r="AL94" s="115">
        <f t="shared" si="22"/>
        <v>1926.6062661873755</v>
      </c>
      <c r="AM94" s="115">
        <f t="shared" si="22"/>
        <v>1558.9574441354898</v>
      </c>
      <c r="AN94" s="115">
        <f t="shared" si="22"/>
        <v>1191.3086220836044</v>
      </c>
      <c r="AO94" s="186">
        <f>+I28</f>
        <v>823.65980003171899</v>
      </c>
      <c r="AP94" s="115">
        <f t="shared" si="23"/>
        <v>587.79398715934417</v>
      </c>
      <c r="AQ94" s="115">
        <f t="shared" si="23"/>
        <v>351.92817428696924</v>
      </c>
      <c r="AR94" s="115">
        <f t="shared" si="23"/>
        <v>116.06236141459431</v>
      </c>
      <c r="AS94" s="115">
        <f t="shared" si="23"/>
        <v>-119.80345145778051</v>
      </c>
      <c r="AT94" s="186">
        <f>+J28</f>
        <v>-355.66926433015539</v>
      </c>
    </row>
    <row r="95" spans="2:48">
      <c r="B95" s="83" t="s">
        <v>177</v>
      </c>
      <c r="F95" s="184"/>
      <c r="G95" s="184"/>
      <c r="H95" s="185"/>
      <c r="I95" s="185"/>
      <c r="J95" s="186">
        <f>+D33</f>
        <v>8346.0621655155301</v>
      </c>
      <c r="K95" s="115">
        <f t="shared" si="18"/>
        <v>8221.877416331894</v>
      </c>
      <c r="L95" s="115">
        <f t="shared" si="18"/>
        <v>8097.692667148257</v>
      </c>
      <c r="M95" s="115">
        <f t="shared" si="18"/>
        <v>7973.5079179646209</v>
      </c>
      <c r="N95" s="115">
        <f t="shared" si="18"/>
        <v>7849.3231687809839</v>
      </c>
      <c r="O95" s="115">
        <f t="shared" si="18"/>
        <v>7725.1384195973478</v>
      </c>
      <c r="P95" s="115">
        <f t="shared" si="18"/>
        <v>7600.9536704137108</v>
      </c>
      <c r="Q95" s="115">
        <f t="shared" si="18"/>
        <v>7476.7689212300747</v>
      </c>
      <c r="R95" s="115">
        <f t="shared" si="18"/>
        <v>7352.5841720464377</v>
      </c>
      <c r="S95" s="115">
        <f t="shared" si="18"/>
        <v>7228.3994228628017</v>
      </c>
      <c r="T95" s="115">
        <f t="shared" si="18"/>
        <v>7104.2146736791656</v>
      </c>
      <c r="U95" s="186">
        <f>+E33</f>
        <v>6980.0299244955286</v>
      </c>
      <c r="V95" s="115">
        <f t="shared" si="19"/>
        <v>6787.6338072409799</v>
      </c>
      <c r="W95" s="115">
        <f t="shared" si="19"/>
        <v>6595.2376899864312</v>
      </c>
      <c r="X95" s="115">
        <f t="shared" si="19"/>
        <v>6402.8415727318825</v>
      </c>
      <c r="Y95" s="115">
        <f t="shared" si="19"/>
        <v>6210.4454554773329</v>
      </c>
      <c r="Z95" s="186">
        <f>+F33</f>
        <v>6018.0493382227842</v>
      </c>
      <c r="AA95" s="115">
        <f t="shared" si="20"/>
        <v>5864.7034012411195</v>
      </c>
      <c r="AB95" s="115">
        <f t="shared" si="20"/>
        <v>5711.3574642594558</v>
      </c>
      <c r="AC95" s="115">
        <f t="shared" si="20"/>
        <v>5558.0115272777912</v>
      </c>
      <c r="AD95" s="115">
        <f t="shared" si="20"/>
        <v>5404.6655902961274</v>
      </c>
      <c r="AE95" s="186">
        <f>+G33</f>
        <v>5251.3196533144628</v>
      </c>
      <c r="AF95" s="115">
        <f t="shared" si="21"/>
        <v>5121.2067466263879</v>
      </c>
      <c r="AG95" s="115">
        <f t="shared" si="21"/>
        <v>4991.0938399383131</v>
      </c>
      <c r="AH95" s="115">
        <f t="shared" si="21"/>
        <v>4860.9809332502373</v>
      </c>
      <c r="AI95" s="115">
        <f t="shared" si="21"/>
        <v>4730.8680265621624</v>
      </c>
      <c r="AJ95" s="186">
        <f>+H33</f>
        <v>4600.7551198740875</v>
      </c>
      <c r="AK95" s="115">
        <f t="shared" si="22"/>
        <v>4483.6017616014387</v>
      </c>
      <c r="AL95" s="115">
        <f t="shared" si="22"/>
        <v>4366.4484033287899</v>
      </c>
      <c r="AM95" s="115">
        <f t="shared" si="22"/>
        <v>4249.2950450561402</v>
      </c>
      <c r="AN95" s="115">
        <f t="shared" si="22"/>
        <v>4132.1416867834914</v>
      </c>
      <c r="AO95" s="186">
        <f>+I33</f>
        <v>4014.9883285108426</v>
      </c>
      <c r="AP95" s="115">
        <f t="shared" si="23"/>
        <v>3858.1013410995247</v>
      </c>
      <c r="AQ95" s="115">
        <f t="shared" si="23"/>
        <v>3701.2143536882063</v>
      </c>
      <c r="AR95" s="115">
        <f t="shared" si="23"/>
        <v>3544.3273662768884</v>
      </c>
      <c r="AS95" s="115">
        <f t="shared" si="23"/>
        <v>3387.44037886557</v>
      </c>
      <c r="AT95" s="186">
        <f>+J33</f>
        <v>3230.5533914542521</v>
      </c>
      <c r="AU95" s="115"/>
    </row>
    <row r="96" spans="2:48">
      <c r="B96" s="183" t="s">
        <v>158</v>
      </c>
      <c r="F96" s="184"/>
      <c r="G96" s="184"/>
      <c r="H96" s="185"/>
      <c r="I96" s="185"/>
      <c r="J96" s="186">
        <f>+D45</f>
        <v>2541.2199103500957</v>
      </c>
      <c r="K96" s="115">
        <f t="shared" si="18"/>
        <v>2446.8704531901412</v>
      </c>
      <c r="L96" s="115">
        <f t="shared" si="18"/>
        <v>2352.5209960301863</v>
      </c>
      <c r="M96" s="115">
        <f t="shared" si="18"/>
        <v>2258.1715388702319</v>
      </c>
      <c r="N96" s="115">
        <f t="shared" si="18"/>
        <v>2163.8220817102774</v>
      </c>
      <c r="O96" s="115">
        <f t="shared" si="18"/>
        <v>2069.4726245503225</v>
      </c>
      <c r="P96" s="115">
        <f t="shared" si="18"/>
        <v>1975.1231673903681</v>
      </c>
      <c r="Q96" s="115">
        <f t="shared" si="18"/>
        <v>1880.7737102304136</v>
      </c>
      <c r="R96" s="115">
        <f t="shared" si="18"/>
        <v>1786.4242530704589</v>
      </c>
      <c r="S96" s="115">
        <f t="shared" si="18"/>
        <v>1692.0747959105042</v>
      </c>
      <c r="T96" s="115">
        <f t="shared" si="18"/>
        <v>1597.7253387505498</v>
      </c>
      <c r="U96" s="186">
        <f>+E45</f>
        <v>1503.3758815905951</v>
      </c>
      <c r="V96" s="115">
        <f t="shared" si="19"/>
        <v>1416.1036454453281</v>
      </c>
      <c r="W96" s="115">
        <f t="shared" si="19"/>
        <v>1328.8314093000611</v>
      </c>
      <c r="X96" s="115">
        <f t="shared" si="19"/>
        <v>1241.5591731547938</v>
      </c>
      <c r="Y96" s="115">
        <f t="shared" si="19"/>
        <v>1154.2869370095268</v>
      </c>
      <c r="Z96" s="186">
        <f>+F45</f>
        <v>1067.0147008642598</v>
      </c>
      <c r="AA96" s="115">
        <f t="shared" si="20"/>
        <v>994.33507117775412</v>
      </c>
      <c r="AB96" s="115">
        <f t="shared" si="20"/>
        <v>921.65544149124844</v>
      </c>
      <c r="AC96" s="115">
        <f t="shared" si="20"/>
        <v>848.97581180474265</v>
      </c>
      <c r="AD96" s="115">
        <f t="shared" si="20"/>
        <v>776.29618211823697</v>
      </c>
      <c r="AE96" s="186">
        <f>+G45</f>
        <v>703.61655243173129</v>
      </c>
      <c r="AF96" s="115">
        <f t="shared" si="21"/>
        <v>640.94815361174756</v>
      </c>
      <c r="AG96" s="115">
        <f t="shared" si="21"/>
        <v>578.27975479176393</v>
      </c>
      <c r="AH96" s="115">
        <f t="shared" si="21"/>
        <v>515.6113559717802</v>
      </c>
      <c r="AI96" s="115">
        <f t="shared" si="21"/>
        <v>452.94295715179652</v>
      </c>
      <c r="AJ96" s="186">
        <f>+H45</f>
        <v>390.27455833181284</v>
      </c>
      <c r="AK96" s="115">
        <f t="shared" si="22"/>
        <v>335.37839528278096</v>
      </c>
      <c r="AL96" s="115">
        <f t="shared" si="22"/>
        <v>280.48223223374907</v>
      </c>
      <c r="AM96" s="115">
        <f t="shared" si="22"/>
        <v>225.58606918471713</v>
      </c>
      <c r="AN96" s="115">
        <f t="shared" si="22"/>
        <v>170.68990613568525</v>
      </c>
      <c r="AO96" s="186">
        <f>+I45</f>
        <v>115.79374308665336</v>
      </c>
      <c r="AP96" s="115">
        <f t="shared" si="23"/>
        <v>82.861075157006496</v>
      </c>
      <c r="AQ96" s="115">
        <f t="shared" si="23"/>
        <v>49.928407227359628</v>
      </c>
      <c r="AR96" s="115">
        <f t="shared" si="23"/>
        <v>16.99573929771276</v>
      </c>
      <c r="AS96" s="115">
        <f t="shared" si="23"/>
        <v>-15.936928631934109</v>
      </c>
      <c r="AT96" s="186">
        <f>+J45</f>
        <v>-48.86959656158097</v>
      </c>
      <c r="AU96" s="186"/>
      <c r="AV96" s="186"/>
    </row>
    <row r="97" spans="2:48">
      <c r="B97" s="183" t="s">
        <v>159</v>
      </c>
      <c r="C97" s="115"/>
      <c r="D97" s="115"/>
      <c r="F97" s="184"/>
      <c r="G97" s="184"/>
      <c r="H97" s="185"/>
      <c r="I97" s="185"/>
      <c r="J97" s="186">
        <f>+D46</f>
        <v>2261.4131158700566</v>
      </c>
      <c r="K97" s="115">
        <f t="shared" si="18"/>
        <v>2215.6503742787227</v>
      </c>
      <c r="L97" s="115">
        <f t="shared" si="18"/>
        <v>2169.8876326873888</v>
      </c>
      <c r="M97" s="115">
        <f t="shared" si="18"/>
        <v>2124.1248910960553</v>
      </c>
      <c r="N97" s="115">
        <f t="shared" si="18"/>
        <v>2078.3621495047214</v>
      </c>
      <c r="O97" s="115">
        <f t="shared" si="18"/>
        <v>2032.5994079133875</v>
      </c>
      <c r="P97" s="115">
        <f t="shared" si="18"/>
        <v>1986.8366663220536</v>
      </c>
      <c r="Q97" s="115">
        <f t="shared" si="18"/>
        <v>1941.0739247307197</v>
      </c>
      <c r="R97" s="115">
        <f t="shared" si="18"/>
        <v>1895.311183139386</v>
      </c>
      <c r="S97" s="115">
        <f t="shared" si="18"/>
        <v>1849.5484415480523</v>
      </c>
      <c r="T97" s="115">
        <f t="shared" si="18"/>
        <v>1803.7856999567184</v>
      </c>
      <c r="U97" s="186">
        <f>+E46</f>
        <v>1758.0229583653845</v>
      </c>
      <c r="V97" s="115">
        <f t="shared" si="19"/>
        <v>1717.7026012728813</v>
      </c>
      <c r="W97" s="115">
        <f t="shared" si="19"/>
        <v>1677.3822441803782</v>
      </c>
      <c r="X97" s="115">
        <f t="shared" si="19"/>
        <v>1637.0618870878748</v>
      </c>
      <c r="Y97" s="115">
        <f t="shared" si="19"/>
        <v>1596.7415299953716</v>
      </c>
      <c r="Z97" s="186">
        <f>+F46</f>
        <v>1556.4211729028684</v>
      </c>
      <c r="AA97" s="115">
        <f t="shared" si="20"/>
        <v>1539.4905292898586</v>
      </c>
      <c r="AB97" s="115">
        <f t="shared" si="20"/>
        <v>1522.5598856768488</v>
      </c>
      <c r="AC97" s="115">
        <f t="shared" si="20"/>
        <v>1505.6292420638388</v>
      </c>
      <c r="AD97" s="115">
        <f t="shared" si="20"/>
        <v>1488.698598450829</v>
      </c>
      <c r="AE97" s="186">
        <f>+G46</f>
        <v>1471.7679548378192</v>
      </c>
      <c r="AF97" s="115">
        <f t="shared" si="21"/>
        <v>1457.1726101859069</v>
      </c>
      <c r="AG97" s="115">
        <f t="shared" si="21"/>
        <v>1442.5772655339947</v>
      </c>
      <c r="AH97" s="115">
        <f t="shared" si="21"/>
        <v>1427.9819208820827</v>
      </c>
      <c r="AI97" s="115">
        <f t="shared" si="21"/>
        <v>1413.3865762301705</v>
      </c>
      <c r="AJ97" s="186">
        <f>+H46</f>
        <v>1398.7912315782582</v>
      </c>
      <c r="AK97" s="115">
        <f t="shared" si="22"/>
        <v>1374.2643392388832</v>
      </c>
      <c r="AL97" s="115">
        <f t="shared" si="22"/>
        <v>1349.7374468995083</v>
      </c>
      <c r="AM97" s="115">
        <f t="shared" si="22"/>
        <v>1325.2105545601332</v>
      </c>
      <c r="AN97" s="115">
        <f t="shared" si="22"/>
        <v>1300.6836622207584</v>
      </c>
      <c r="AO97" s="186">
        <f>+I46</f>
        <v>1276.1567698813833</v>
      </c>
      <c r="AP97" s="115">
        <f t="shared" si="23"/>
        <v>1252.0185268422456</v>
      </c>
      <c r="AQ97" s="115">
        <f t="shared" si="23"/>
        <v>1227.8802838031079</v>
      </c>
      <c r="AR97" s="115">
        <f t="shared" si="23"/>
        <v>1203.7420407639702</v>
      </c>
      <c r="AS97" s="115">
        <f t="shared" si="23"/>
        <v>1179.6037977248325</v>
      </c>
      <c r="AT97" s="186">
        <f>+J46</f>
        <v>1155.4655546856948</v>
      </c>
      <c r="AU97" s="186"/>
      <c r="AV97" s="186"/>
    </row>
    <row r="98" spans="2:48">
      <c r="B98" s="183" t="str">
        <f>+B49</f>
        <v>New PLDV sales (millions/year)</v>
      </c>
      <c r="C98" s="115"/>
      <c r="D98" s="115"/>
      <c r="F98" s="196">
        <f>+D50</f>
        <v>62.831709613462252</v>
      </c>
      <c r="G98" s="115">
        <f>$F98-(($F98-$K98)/(5)*(G$89-$F$89))</f>
        <v>66.274532396098877</v>
      </c>
      <c r="H98" s="115">
        <f>$F98-(($F98-$K98)/(5)*(H$89-$F$89))</f>
        <v>69.717355178735502</v>
      </c>
      <c r="I98" s="115">
        <f>$F98-(($F98-$K98)/(5)*(I$89-$F$89))</f>
        <v>73.160177961372113</v>
      </c>
      <c r="J98" s="115">
        <f>$F98-(($F98-$K98)/(5)*(J$89-$F$89))</f>
        <v>76.603000744008739</v>
      </c>
      <c r="K98" s="186">
        <f>+E50</f>
        <v>80.045823526645364</v>
      </c>
      <c r="L98" s="115">
        <f t="shared" ref="L98:O100" si="24">$K98-(($K98-$P98)/(5)*(L$89-$K$89))</f>
        <v>80.939317139371553</v>
      </c>
      <c r="M98" s="115">
        <f t="shared" si="24"/>
        <v>81.832810752097757</v>
      </c>
      <c r="N98" s="115">
        <f t="shared" si="24"/>
        <v>82.726304364823946</v>
      </c>
      <c r="O98" s="115">
        <f t="shared" si="24"/>
        <v>83.619797977550149</v>
      </c>
      <c r="P98" s="186">
        <f>+F50</f>
        <v>84.513291590276339</v>
      </c>
      <c r="Q98" s="115">
        <f t="shared" ref="Q98:T100" si="25">$P98-(($P98-$U98)/(5)*(Q$89-$P$89))</f>
        <v>84.249425322935011</v>
      </c>
      <c r="R98" s="115">
        <f t="shared" si="25"/>
        <v>83.985559055593669</v>
      </c>
      <c r="S98" s="115">
        <f t="shared" si="25"/>
        <v>83.721692788252341</v>
      </c>
      <c r="T98" s="115">
        <f t="shared" si="25"/>
        <v>83.457826520910999</v>
      </c>
      <c r="U98" s="186">
        <f>+G50</f>
        <v>83.193960253569671</v>
      </c>
      <c r="V98" s="115">
        <f t="shared" si="19"/>
        <v>86.262045472681649</v>
      </c>
      <c r="W98" s="115">
        <f t="shared" si="19"/>
        <v>89.330130691793627</v>
      </c>
      <c r="X98" s="115">
        <f t="shared" si="19"/>
        <v>92.398215910905606</v>
      </c>
      <c r="Y98" s="115">
        <f t="shared" si="19"/>
        <v>95.466301130017584</v>
      </c>
      <c r="Z98" s="186">
        <f>+H50</f>
        <v>98.534386349129562</v>
      </c>
      <c r="AA98" s="115">
        <f t="shared" si="20"/>
        <v>98.803678637880225</v>
      </c>
      <c r="AB98" s="115">
        <f t="shared" si="20"/>
        <v>99.072970926630887</v>
      </c>
      <c r="AC98" s="115">
        <f t="shared" si="20"/>
        <v>99.342263215381536</v>
      </c>
      <c r="AD98" s="115">
        <f t="shared" si="20"/>
        <v>99.611555504132198</v>
      </c>
      <c r="AE98" s="186">
        <f>+I50</f>
        <v>99.880847792882861</v>
      </c>
      <c r="AF98" s="115">
        <f t="shared" si="21"/>
        <v>101.01661840518572</v>
      </c>
      <c r="AG98" s="115">
        <f t="shared" si="21"/>
        <v>102.15238901748859</v>
      </c>
      <c r="AH98" s="115">
        <f t="shared" si="21"/>
        <v>103.28815962979147</v>
      </c>
      <c r="AI98" s="115">
        <f t="shared" si="21"/>
        <v>104.42393024209433</v>
      </c>
      <c r="AJ98" s="186">
        <f>+J50</f>
        <v>105.55970085439719</v>
      </c>
      <c r="AK98" s="115">
        <f t="shared" si="22"/>
        <v>108.83863080520263</v>
      </c>
      <c r="AL98" s="115">
        <f t="shared" si="22"/>
        <v>112.11756075600806</v>
      </c>
      <c r="AM98" s="115">
        <f t="shared" si="22"/>
        <v>115.39649070681349</v>
      </c>
      <c r="AN98" s="115">
        <f t="shared" si="22"/>
        <v>118.67542065761893</v>
      </c>
      <c r="AO98" s="186">
        <f>+K50</f>
        <v>121.95435060842436</v>
      </c>
      <c r="AP98" s="115">
        <f t="shared" si="23"/>
        <v>122.19056156254996</v>
      </c>
      <c r="AQ98" s="115">
        <f t="shared" si="23"/>
        <v>122.42677251667557</v>
      </c>
      <c r="AR98" s="115">
        <f t="shared" si="23"/>
        <v>122.66298347080117</v>
      </c>
      <c r="AS98" s="115">
        <f t="shared" si="23"/>
        <v>122.89919442492678</v>
      </c>
      <c r="AT98" s="186">
        <f>+L50</f>
        <v>123.13540537905237</v>
      </c>
      <c r="AU98" s="186"/>
      <c r="AV98" s="186"/>
    </row>
    <row r="99" spans="2:48">
      <c r="B99" s="183" t="s">
        <v>163</v>
      </c>
      <c r="F99" s="184"/>
      <c r="G99" s="184"/>
      <c r="H99" s="115">
        <f t="shared" ref="H99:K100" si="26">+H76</f>
        <v>33.66034211104455</v>
      </c>
      <c r="I99" s="115">
        <f t="shared" si="26"/>
        <v>36.656584771043129</v>
      </c>
      <c r="J99" s="115">
        <f t="shared" si="26"/>
        <v>39.652827431041715</v>
      </c>
      <c r="K99" s="186">
        <f t="shared" si="26"/>
        <v>42.649070091040294</v>
      </c>
      <c r="L99" s="115">
        <f t="shared" si="24"/>
        <v>41.004554499207359</v>
      </c>
      <c r="M99" s="115">
        <f t="shared" si="24"/>
        <v>39.360038907374424</v>
      </c>
      <c r="N99" s="115">
        <f t="shared" si="24"/>
        <v>37.715523315541489</v>
      </c>
      <c r="O99" s="115">
        <f t="shared" si="24"/>
        <v>36.071007723708547</v>
      </c>
      <c r="P99" s="186">
        <f>+L76</f>
        <v>34.426492131875612</v>
      </c>
      <c r="Q99" s="115">
        <f t="shared" si="25"/>
        <v>32.781976540042677</v>
      </c>
      <c r="R99" s="115">
        <f t="shared" si="25"/>
        <v>31.137460948209743</v>
      </c>
      <c r="S99" s="115">
        <f t="shared" si="25"/>
        <v>29.492945356376808</v>
      </c>
      <c r="T99" s="115">
        <f t="shared" si="25"/>
        <v>27.848429764543873</v>
      </c>
      <c r="U99" s="186">
        <f>+M76</f>
        <v>26.203914172710938</v>
      </c>
      <c r="V99" s="115">
        <f t="shared" si="19"/>
        <v>24.682754884727956</v>
      </c>
      <c r="W99" s="115">
        <f t="shared" si="19"/>
        <v>23.161595596744974</v>
      </c>
      <c r="X99" s="115">
        <f t="shared" si="19"/>
        <v>21.640436308761991</v>
      </c>
      <c r="Y99" s="115">
        <f t="shared" si="19"/>
        <v>20.119277020779005</v>
      </c>
      <c r="Z99" s="186">
        <f>+N76</f>
        <v>18.598117732796023</v>
      </c>
      <c r="AA99" s="115">
        <f t="shared" si="20"/>
        <v>17.331308279664029</v>
      </c>
      <c r="AB99" s="115">
        <f t="shared" si="20"/>
        <v>16.064498826532038</v>
      </c>
      <c r="AC99" s="115">
        <f t="shared" si="20"/>
        <v>14.797689373400043</v>
      </c>
      <c r="AD99" s="115">
        <f t="shared" si="20"/>
        <v>13.530879920268051</v>
      </c>
      <c r="AE99" s="186">
        <f>+O76</f>
        <v>12.264070467136058</v>
      </c>
      <c r="AF99" s="115">
        <f t="shared" si="21"/>
        <v>11.171757251173963</v>
      </c>
      <c r="AG99" s="115">
        <f t="shared" si="21"/>
        <v>10.079444035211869</v>
      </c>
      <c r="AH99" s="115">
        <f t="shared" si="21"/>
        <v>8.9871308192497743</v>
      </c>
      <c r="AI99" s="115">
        <f t="shared" si="21"/>
        <v>7.89481760328768</v>
      </c>
      <c r="AJ99" s="186">
        <f>+P76</f>
        <v>6.8025043873255857</v>
      </c>
      <c r="AK99" s="115">
        <f t="shared" si="22"/>
        <v>5.8456616159582362</v>
      </c>
      <c r="AL99" s="115">
        <f t="shared" si="22"/>
        <v>4.8888188445908867</v>
      </c>
      <c r="AM99" s="115">
        <f t="shared" si="22"/>
        <v>3.9319760732235363</v>
      </c>
      <c r="AN99" s="115">
        <f t="shared" si="22"/>
        <v>2.9751333018561867</v>
      </c>
      <c r="AO99" s="186">
        <f>+Q76</f>
        <v>2.0182905304888372</v>
      </c>
      <c r="AP99" s="115">
        <f t="shared" si="23"/>
        <v>1.4442725390642133</v>
      </c>
      <c r="AQ99" s="115">
        <f t="shared" si="23"/>
        <v>0.87025454763958932</v>
      </c>
      <c r="AR99" s="115">
        <f t="shared" si="23"/>
        <v>0.29623655621496536</v>
      </c>
      <c r="AS99" s="115">
        <f t="shared" si="23"/>
        <v>-0.27778143520965859</v>
      </c>
      <c r="AT99" s="186">
        <f>+R76</f>
        <v>-0.8517994266342821</v>
      </c>
    </row>
    <row r="100" spans="2:48">
      <c r="B100" s="183" t="s">
        <v>164</v>
      </c>
      <c r="F100" s="184"/>
      <c r="G100" s="184"/>
      <c r="H100" s="115">
        <f t="shared" si="26"/>
        <v>19.074519197709588</v>
      </c>
      <c r="I100" s="115">
        <f t="shared" si="26"/>
        <v>19.16114678128724</v>
      </c>
      <c r="J100" s="115">
        <f t="shared" si="26"/>
        <v>19.247774364864892</v>
      </c>
      <c r="K100" s="186">
        <f t="shared" si="26"/>
        <v>19.334401948442544</v>
      </c>
      <c r="L100" s="115">
        <f t="shared" si="24"/>
        <v>18.935063113010266</v>
      </c>
      <c r="M100" s="115">
        <f t="shared" si="24"/>
        <v>18.535724277577987</v>
      </c>
      <c r="N100" s="115">
        <f t="shared" si="24"/>
        <v>18.136385442145706</v>
      </c>
      <c r="O100" s="115">
        <f t="shared" si="24"/>
        <v>17.737046606713427</v>
      </c>
      <c r="P100" s="186">
        <f>+L77</f>
        <v>17.337707771281149</v>
      </c>
      <c r="Q100" s="115">
        <f t="shared" si="25"/>
        <v>16.938368935848871</v>
      </c>
      <c r="R100" s="115">
        <f t="shared" si="25"/>
        <v>16.539030100416593</v>
      </c>
      <c r="S100" s="115">
        <f t="shared" si="25"/>
        <v>16.139691264984315</v>
      </c>
      <c r="T100" s="115">
        <f t="shared" si="25"/>
        <v>15.740352429552036</v>
      </c>
      <c r="U100" s="186">
        <f>+M77</f>
        <v>15.341013594119758</v>
      </c>
      <c r="V100" s="115">
        <f t="shared" si="19"/>
        <v>14.989166569976803</v>
      </c>
      <c r="W100" s="115">
        <f t="shared" si="19"/>
        <v>14.637319545833847</v>
      </c>
      <c r="X100" s="115">
        <f t="shared" si="19"/>
        <v>14.285472521690892</v>
      </c>
      <c r="Y100" s="115">
        <f t="shared" si="19"/>
        <v>13.933625497547938</v>
      </c>
      <c r="Z100" s="186">
        <f>+N77</f>
        <v>13.581778473404983</v>
      </c>
      <c r="AA100" s="115">
        <f t="shared" si="20"/>
        <v>13.434036811335972</v>
      </c>
      <c r="AB100" s="115">
        <f t="shared" si="20"/>
        <v>13.286295149266961</v>
      </c>
      <c r="AC100" s="115">
        <f t="shared" si="20"/>
        <v>13.138553487197951</v>
      </c>
      <c r="AD100" s="115">
        <f t="shared" si="20"/>
        <v>12.99081182512894</v>
      </c>
      <c r="AE100" s="186">
        <f>+O77</f>
        <v>12.843070163059929</v>
      </c>
      <c r="AF100" s="115">
        <f t="shared" si="21"/>
        <v>12.715706990895194</v>
      </c>
      <c r="AG100" s="115">
        <f t="shared" si="21"/>
        <v>12.588343818730458</v>
      </c>
      <c r="AH100" s="115">
        <f t="shared" si="21"/>
        <v>12.460980646565723</v>
      </c>
      <c r="AI100" s="115">
        <f t="shared" si="21"/>
        <v>12.333617474400986</v>
      </c>
      <c r="AJ100" s="186">
        <f>+P77</f>
        <v>12.206254302236252</v>
      </c>
      <c r="AK100" s="115">
        <f t="shared" si="22"/>
        <v>11.992225590603431</v>
      </c>
      <c r="AL100" s="115">
        <f t="shared" si="22"/>
        <v>11.77819687897061</v>
      </c>
      <c r="AM100" s="115">
        <f t="shared" si="22"/>
        <v>11.56416816733779</v>
      </c>
      <c r="AN100" s="115">
        <f t="shared" si="22"/>
        <v>11.350139455704969</v>
      </c>
      <c r="AO100" s="186">
        <f>+Q77</f>
        <v>11.136110744072148</v>
      </c>
      <c r="AP100" s="115">
        <f t="shared" si="23"/>
        <v>10.925473497931808</v>
      </c>
      <c r="AQ100" s="115">
        <f t="shared" si="23"/>
        <v>10.714836251791468</v>
      </c>
      <c r="AR100" s="115">
        <f t="shared" si="23"/>
        <v>10.504199005651129</v>
      </c>
      <c r="AS100" s="115">
        <f t="shared" si="23"/>
        <v>10.293561759510789</v>
      </c>
      <c r="AT100" s="186">
        <f>+R77</f>
        <v>10.082924513370449</v>
      </c>
    </row>
    <row r="101" spans="2:48">
      <c r="B101" s="183" t="s">
        <v>165</v>
      </c>
      <c r="F101" s="184"/>
      <c r="G101" s="184"/>
      <c r="H101" s="115">
        <f>+H99/H98*1000</f>
        <v>482.8115183765791</v>
      </c>
      <c r="I101" s="115">
        <f>+I99/I98*1000</f>
        <v>501.04559327886631</v>
      </c>
      <c r="J101" s="115">
        <f>+J99/J98*1000</f>
        <v>517.64065435965358</v>
      </c>
      <c r="K101" s="115">
        <f>+K99/K98*1000</f>
        <v>532.80818676121714</v>
      </c>
      <c r="L101" s="115">
        <f>+L99/L98*1000</f>
        <v>506.60860442645605</v>
      </c>
      <c r="M101" s="115">
        <f t="shared" ref="M101:AT101" si="27">+M99/M98*1000</f>
        <v>480.98114369565928</v>
      </c>
      <c r="N101" s="115">
        <f t="shared" si="27"/>
        <v>455.90726680132599</v>
      </c>
      <c r="O101" s="115">
        <f t="shared" si="27"/>
        <v>431.36922829438936</v>
      </c>
      <c r="P101" s="115">
        <f t="shared" si="27"/>
        <v>407.35003316137016</v>
      </c>
      <c r="Q101" s="115">
        <f t="shared" si="27"/>
        <v>389.10623324000909</v>
      </c>
      <c r="R101" s="115">
        <f t="shared" si="27"/>
        <v>370.74779638721594</v>
      </c>
      <c r="S101" s="115">
        <f t="shared" si="27"/>
        <v>352.27363869684206</v>
      </c>
      <c r="T101" s="115">
        <f t="shared" si="27"/>
        <v>333.68266255491613</v>
      </c>
      <c r="U101" s="115">
        <f t="shared" si="27"/>
        <v>314.97375642225882</v>
      </c>
      <c r="V101" s="115">
        <f t="shared" si="27"/>
        <v>286.13690701949264</v>
      </c>
      <c r="W101" s="115">
        <f t="shared" si="27"/>
        <v>259.28088784127044</v>
      </c>
      <c r="X101" s="115">
        <f t="shared" si="27"/>
        <v>234.20837832657554</v>
      </c>
      <c r="Y101" s="115">
        <f t="shared" si="27"/>
        <v>210.74742377813649</v>
      </c>
      <c r="Z101" s="115">
        <f t="shared" si="27"/>
        <v>188.7474862521465</v>
      </c>
      <c r="AA101" s="115">
        <f t="shared" si="27"/>
        <v>175.41156886662114</v>
      </c>
      <c r="AB101" s="115">
        <f t="shared" si="27"/>
        <v>162.14814874612676</v>
      </c>
      <c r="AC101" s="115">
        <f t="shared" si="27"/>
        <v>148.95663632423529</v>
      </c>
      <c r="AD101" s="115">
        <f t="shared" si="27"/>
        <v>135.8364484099111</v>
      </c>
      <c r="AE101" s="115">
        <f t="shared" si="27"/>
        <v>122.7870081015667</v>
      </c>
      <c r="AF101" s="115">
        <f t="shared" si="27"/>
        <v>110.59326106485918</v>
      </c>
      <c r="AG101" s="115">
        <f t="shared" si="27"/>
        <v>98.670663820561828</v>
      </c>
      <c r="AH101" s="115">
        <f t="shared" si="27"/>
        <v>87.010271568994156</v>
      </c>
      <c r="AI101" s="115">
        <f t="shared" si="27"/>
        <v>75.603528664210344</v>
      </c>
      <c r="AJ101" s="115">
        <f t="shared" si="27"/>
        <v>64.442247678482516</v>
      </c>
      <c r="AK101" s="115">
        <f t="shared" si="27"/>
        <v>53.709437289970083</v>
      </c>
      <c r="AL101" s="115">
        <f t="shared" si="27"/>
        <v>43.604398915081724</v>
      </c>
      <c r="AM101" s="115">
        <f t="shared" si="27"/>
        <v>34.07361912948862</v>
      </c>
      <c r="AN101" s="115">
        <f t="shared" si="27"/>
        <v>25.069498682793878</v>
      </c>
      <c r="AO101" s="115">
        <f t="shared" si="27"/>
        <v>16.549557440301911</v>
      </c>
      <c r="AP101" s="115">
        <f t="shared" si="27"/>
        <v>11.819837151046098</v>
      </c>
      <c r="AQ101" s="115">
        <f t="shared" si="27"/>
        <v>7.1083679635600392</v>
      </c>
      <c r="AR101" s="115">
        <f t="shared" si="27"/>
        <v>2.4150444399184359</v>
      </c>
      <c r="AS101" s="115">
        <f t="shared" si="27"/>
        <v>-2.2602380472017005</v>
      </c>
      <c r="AT101" s="115">
        <f t="shared" si="27"/>
        <v>-6.9175833222959371</v>
      </c>
    </row>
    <row r="102" spans="2:48">
      <c r="B102" s="183" t="s">
        <v>166</v>
      </c>
      <c r="F102" s="184"/>
      <c r="G102" s="184"/>
      <c r="H102" s="115">
        <f>+H100/H98*1000</f>
        <v>273.59786022874698</v>
      </c>
      <c r="I102" s="115">
        <f t="shared" ref="I102:AT102" si="28">+I100/I98*1000</f>
        <v>261.90678201198671</v>
      </c>
      <c r="J102" s="115">
        <f t="shared" si="28"/>
        <v>251.26658457136608</v>
      </c>
      <c r="K102" s="115">
        <f t="shared" si="28"/>
        <v>241.54167071573167</v>
      </c>
      <c r="L102" s="115">
        <f t="shared" si="28"/>
        <v>233.94147346715911</v>
      </c>
      <c r="M102" s="115">
        <f t="shared" si="28"/>
        <v>226.50724211013159</v>
      </c>
      <c r="N102" s="115">
        <f t="shared" si="28"/>
        <v>219.23359905168783</v>
      </c>
      <c r="O102" s="115">
        <f t="shared" si="28"/>
        <v>212.11539654132369</v>
      </c>
      <c r="P102" s="115">
        <f t="shared" si="28"/>
        <v>205.14770452126061</v>
      </c>
      <c r="Q102" s="115">
        <f t="shared" si="28"/>
        <v>201.05026082875585</v>
      </c>
      <c r="R102" s="115">
        <f t="shared" si="28"/>
        <v>196.92707039633675</v>
      </c>
      <c r="S102" s="115">
        <f t="shared" si="28"/>
        <v>192.77788978544163</v>
      </c>
      <c r="T102" s="115">
        <f t="shared" si="28"/>
        <v>188.60247247881742</v>
      </c>
      <c r="U102" s="115">
        <f t="shared" si="28"/>
        <v>184.40056883169603</v>
      </c>
      <c r="V102" s="115">
        <f t="shared" si="28"/>
        <v>173.76317113560361</v>
      </c>
      <c r="W102" s="115">
        <f t="shared" si="28"/>
        <v>163.85646626148409</v>
      </c>
      <c r="X102" s="115">
        <f t="shared" si="28"/>
        <v>154.60766618551995</v>
      </c>
      <c r="Y102" s="115">
        <f t="shared" si="28"/>
        <v>145.95333989709562</v>
      </c>
      <c r="Z102" s="115">
        <f t="shared" si="28"/>
        <v>137.83795664268592</v>
      </c>
      <c r="AA102" s="115">
        <f t="shared" si="28"/>
        <v>135.96697002114971</v>
      </c>
      <c r="AB102" s="115">
        <f t="shared" si="28"/>
        <v>134.10615453438064</v>
      </c>
      <c r="AC102" s="115">
        <f t="shared" si="28"/>
        <v>132.25542746809154</v>
      </c>
      <c r="AD102" s="115">
        <f t="shared" si="28"/>
        <v>130.4147070024425</v>
      </c>
      <c r="AE102" s="115">
        <f t="shared" si="28"/>
        <v>128.58391219998313</v>
      </c>
      <c r="AF102" s="115">
        <f t="shared" si="28"/>
        <v>125.87737732312002</v>
      </c>
      <c r="AG102" s="115">
        <f t="shared" si="28"/>
        <v>123.23102709399504</v>
      </c>
      <c r="AH102" s="115">
        <f t="shared" si="28"/>
        <v>120.64287611696003</v>
      </c>
      <c r="AI102" s="115">
        <f t="shared" si="28"/>
        <v>118.11102537327389</v>
      </c>
      <c r="AJ102" s="115">
        <f t="shared" si="28"/>
        <v>115.63365757423693</v>
      </c>
      <c r="AK102" s="115">
        <f t="shared" si="28"/>
        <v>110.18353963003167</v>
      </c>
      <c r="AL102" s="115">
        <f t="shared" si="28"/>
        <v>105.05220412886523</v>
      </c>
      <c r="AM102" s="115">
        <f t="shared" si="28"/>
        <v>100.21247696967438</v>
      </c>
      <c r="AN102" s="115">
        <f t="shared" si="28"/>
        <v>95.640187267171015</v>
      </c>
      <c r="AO102" s="115">
        <f t="shared" si="28"/>
        <v>91.313763621507789</v>
      </c>
      <c r="AP102" s="115">
        <f t="shared" si="28"/>
        <v>89.413399514814429</v>
      </c>
      <c r="AQ102" s="115">
        <f t="shared" si="28"/>
        <v>87.520368556085359</v>
      </c>
      <c r="AR102" s="115">
        <f t="shared" si="28"/>
        <v>85.634628381198311</v>
      </c>
      <c r="AS102" s="115">
        <f t="shared" si="28"/>
        <v>83.756136951724542</v>
      </c>
      <c r="AT102" s="115">
        <f t="shared" si="28"/>
        <v>81.884852551805068</v>
      </c>
    </row>
    <row r="103" spans="2:48">
      <c r="B103" s="183" t="s">
        <v>178</v>
      </c>
      <c r="F103" s="184"/>
      <c r="G103" s="184"/>
      <c r="H103" s="115">
        <f>+H101+H102</f>
        <v>756.40937860532608</v>
      </c>
      <c r="I103" s="115">
        <f t="shared" ref="I103:AT103" si="29">+I101+I102</f>
        <v>762.95237529085307</v>
      </c>
      <c r="J103" s="115">
        <f t="shared" si="29"/>
        <v>768.90723893101972</v>
      </c>
      <c r="K103" s="115">
        <f t="shared" si="29"/>
        <v>774.34985747694884</v>
      </c>
      <c r="L103" s="115">
        <f t="shared" si="29"/>
        <v>740.55007789361514</v>
      </c>
      <c r="M103" s="115">
        <f t="shared" si="29"/>
        <v>707.48838580579081</v>
      </c>
      <c r="N103" s="115">
        <f t="shared" si="29"/>
        <v>675.14086585301379</v>
      </c>
      <c r="O103" s="115">
        <f t="shared" si="29"/>
        <v>643.48462483571302</v>
      </c>
      <c r="P103" s="115">
        <f t="shared" si="29"/>
        <v>612.49773768263071</v>
      </c>
      <c r="Q103" s="115">
        <f t="shared" si="29"/>
        <v>590.15649406876491</v>
      </c>
      <c r="R103" s="115">
        <f t="shared" si="29"/>
        <v>567.67486678355272</v>
      </c>
      <c r="S103" s="115">
        <f t="shared" si="29"/>
        <v>545.05152848228363</v>
      </c>
      <c r="T103" s="115">
        <f t="shared" si="29"/>
        <v>522.28513503373358</v>
      </c>
      <c r="U103" s="115">
        <f t="shared" si="29"/>
        <v>499.37432525395485</v>
      </c>
      <c r="V103" s="115">
        <f t="shared" si="29"/>
        <v>459.90007815509625</v>
      </c>
      <c r="W103" s="115">
        <f t="shared" si="29"/>
        <v>423.13735410275456</v>
      </c>
      <c r="X103" s="115">
        <f t="shared" si="29"/>
        <v>388.81604451209546</v>
      </c>
      <c r="Y103" s="115">
        <f t="shared" si="29"/>
        <v>356.70076367523211</v>
      </c>
      <c r="Z103" s="115">
        <f t="shared" si="29"/>
        <v>326.58544289483245</v>
      </c>
      <c r="AA103" s="115">
        <f t="shared" si="29"/>
        <v>311.37853888777084</v>
      </c>
      <c r="AB103" s="115">
        <f t="shared" si="29"/>
        <v>296.25430328050743</v>
      </c>
      <c r="AC103" s="115">
        <f t="shared" si="29"/>
        <v>281.21206379232683</v>
      </c>
      <c r="AD103" s="115">
        <f t="shared" si="29"/>
        <v>266.25115541235357</v>
      </c>
      <c r="AE103" s="115">
        <f t="shared" si="29"/>
        <v>251.37092030154983</v>
      </c>
      <c r="AF103" s="115">
        <f t="shared" si="29"/>
        <v>236.47063838797919</v>
      </c>
      <c r="AG103" s="115">
        <f t="shared" si="29"/>
        <v>221.90169091455687</v>
      </c>
      <c r="AH103" s="115">
        <f t="shared" si="29"/>
        <v>207.6531476859542</v>
      </c>
      <c r="AI103" s="115">
        <f t="shared" si="29"/>
        <v>193.71455403748422</v>
      </c>
      <c r="AJ103" s="115">
        <f t="shared" si="29"/>
        <v>180.07590525271945</v>
      </c>
      <c r="AK103" s="115">
        <f t="shared" si="29"/>
        <v>163.89297692000176</v>
      </c>
      <c r="AL103" s="115">
        <f t="shared" si="29"/>
        <v>148.65660304394694</v>
      </c>
      <c r="AM103" s="115">
        <f t="shared" si="29"/>
        <v>134.28609609916299</v>
      </c>
      <c r="AN103" s="115">
        <f t="shared" si="29"/>
        <v>120.70968594996489</v>
      </c>
      <c r="AO103" s="115">
        <f t="shared" si="29"/>
        <v>107.8633210618097</v>
      </c>
      <c r="AP103" s="115">
        <f t="shared" si="29"/>
        <v>101.23323666586053</v>
      </c>
      <c r="AQ103" s="115">
        <f t="shared" si="29"/>
        <v>94.6287365196454</v>
      </c>
      <c r="AR103" s="115">
        <f t="shared" si="29"/>
        <v>88.049672821116744</v>
      </c>
      <c r="AS103" s="115">
        <f t="shared" si="29"/>
        <v>81.495898904522846</v>
      </c>
      <c r="AT103" s="115">
        <f t="shared" si="29"/>
        <v>74.967269229509128</v>
      </c>
    </row>
    <row r="106" spans="2:48">
      <c r="B106" s="197"/>
    </row>
    <row r="133" spans="2:47">
      <c r="B133" t="s">
        <v>179</v>
      </c>
      <c r="H133" s="115">
        <v>21.340633097842264</v>
      </c>
      <c r="I133" s="115">
        <v>20.671889381375692</v>
      </c>
      <c r="J133" s="115">
        <v>20.003145664909116</v>
      </c>
      <c r="K133" s="115">
        <v>19.334401948442544</v>
      </c>
      <c r="L133" s="115">
        <v>19.055445145168289</v>
      </c>
      <c r="M133" s="115">
        <v>18.776488341894034</v>
      </c>
      <c r="N133" s="115">
        <v>18.497531538619782</v>
      </c>
      <c r="O133" s="115">
        <v>18.218574735345527</v>
      </c>
      <c r="P133" s="115">
        <v>17.939617932071272</v>
      </c>
      <c r="Q133" s="115">
        <v>17.660661128797017</v>
      </c>
      <c r="R133" s="115">
        <v>17.381704325522762</v>
      </c>
      <c r="S133" s="115">
        <v>17.10274752224851</v>
      </c>
      <c r="T133" s="115">
        <v>16.823790718974255</v>
      </c>
      <c r="U133" s="115">
        <v>16.5448339157</v>
      </c>
      <c r="V133" s="115">
        <v>16.308316816698476</v>
      </c>
      <c r="W133" s="115">
        <v>16.071799717696951</v>
      </c>
      <c r="X133" s="115">
        <v>15.835282618695423</v>
      </c>
      <c r="Y133" s="115">
        <v>15.598765519693899</v>
      </c>
      <c r="Z133" s="115">
        <v>15.362248420692373</v>
      </c>
      <c r="AA133" s="115">
        <v>15.14738936012378</v>
      </c>
      <c r="AB133" s="115">
        <v>14.932530299555186</v>
      </c>
      <c r="AC133" s="115">
        <v>14.717671238986595</v>
      </c>
      <c r="AD133" s="115">
        <v>14.502812178418001</v>
      </c>
      <c r="AE133" s="115">
        <v>14.287953117849408</v>
      </c>
      <c r="AF133" s="115">
        <v>14.113119633404883</v>
      </c>
      <c r="AG133" s="115">
        <v>13.938286148960357</v>
      </c>
      <c r="AH133" s="115">
        <v>13.763452664515833</v>
      </c>
      <c r="AI133" s="115">
        <v>13.588619180071309</v>
      </c>
      <c r="AJ133" s="115">
        <v>13.413785695626784</v>
      </c>
      <c r="AK133" s="115">
        <v>13.319391660679532</v>
      </c>
      <c r="AL133" s="115">
        <v>13.22499762573228</v>
      </c>
      <c r="AM133" s="115">
        <v>13.130603590785027</v>
      </c>
      <c r="AN133" s="115">
        <v>13.036209555837775</v>
      </c>
      <c r="AO133" s="115">
        <v>12.941815520890522</v>
      </c>
      <c r="AP133" s="115">
        <v>12.784989116977737</v>
      </c>
      <c r="AQ133" s="115">
        <v>12.628162713064953</v>
      </c>
      <c r="AR133" s="115">
        <v>12.471336309152166</v>
      </c>
      <c r="AS133" s="115">
        <v>12.314509905239381</v>
      </c>
      <c r="AT133" s="115">
        <v>12.157683501326595</v>
      </c>
      <c r="AU133" s="115" t="s">
        <v>75</v>
      </c>
    </row>
    <row r="134" spans="2:47">
      <c r="B134" t="s">
        <v>180</v>
      </c>
      <c r="H134" s="115">
        <v>37.659298433373166</v>
      </c>
      <c r="I134" s="115">
        <v>39.32255565259554</v>
      </c>
      <c r="J134" s="115">
        <v>40.985812871817927</v>
      </c>
      <c r="K134" s="115">
        <v>42.649070091040301</v>
      </c>
      <c r="L134" s="115">
        <v>43.237450017782457</v>
      </c>
      <c r="M134" s="115">
        <v>43.825829944524614</v>
      </c>
      <c r="N134" s="115">
        <v>44.41420987126677</v>
      </c>
      <c r="O134" s="115">
        <v>45.002589798008927</v>
      </c>
      <c r="P134" s="115">
        <v>45.590969724751083</v>
      </c>
      <c r="Q134" s="115">
        <v>42.713568050879729</v>
      </c>
      <c r="R134" s="115">
        <v>39.836166377008375</v>
      </c>
      <c r="S134" s="115">
        <v>36.958764703137028</v>
      </c>
      <c r="T134" s="115">
        <v>34.081363029265674</v>
      </c>
      <c r="U134" s="115">
        <v>31.20396135539432</v>
      </c>
      <c r="V134" s="115">
        <v>29.693841555950375</v>
      </c>
      <c r="W134" s="115">
        <v>28.183721756506429</v>
      </c>
      <c r="X134" s="115">
        <v>26.673601957062484</v>
      </c>
      <c r="Y134" s="115">
        <v>25.163482157618539</v>
      </c>
      <c r="Z134" s="115">
        <v>23.653362358174594</v>
      </c>
      <c r="AA134" s="115">
        <v>21.948345810887638</v>
      </c>
      <c r="AB134" s="115">
        <v>20.243329263600685</v>
      </c>
      <c r="AC134" s="115">
        <v>18.53831271631373</v>
      </c>
      <c r="AD134" s="115">
        <v>16.833296169026777</v>
      </c>
      <c r="AE134" s="115">
        <v>15.128279621739823</v>
      </c>
      <c r="AF134" s="115">
        <v>14.150349467733681</v>
      </c>
      <c r="AG134" s="115">
        <v>13.172419313727538</v>
      </c>
      <c r="AH134" s="115">
        <v>12.194489159721394</v>
      </c>
      <c r="AI134" s="115">
        <v>11.216559005715251</v>
      </c>
      <c r="AJ134" s="115">
        <v>10.238628851709109</v>
      </c>
      <c r="AK134" s="115">
        <v>9.4732576083617754</v>
      </c>
      <c r="AL134" s="115">
        <v>8.707886365014442</v>
      </c>
      <c r="AM134" s="115">
        <v>7.9425151216671068</v>
      </c>
      <c r="AN134" s="115">
        <v>7.1771438783197725</v>
      </c>
      <c r="AO134" s="115">
        <v>6.4117726349724391</v>
      </c>
      <c r="AP134" s="115">
        <v>6.0137772549958104</v>
      </c>
      <c r="AQ134" s="115">
        <v>5.6157818750191835</v>
      </c>
      <c r="AR134" s="115">
        <v>5.2177864950425548</v>
      </c>
      <c r="AS134" s="115">
        <v>4.8197911150659269</v>
      </c>
      <c r="AT134" s="115">
        <v>4.4217957350892991</v>
      </c>
      <c r="AU134" s="115" t="s">
        <v>75</v>
      </c>
    </row>
    <row r="135" spans="2:47">
      <c r="B135" t="s">
        <v>181</v>
      </c>
      <c r="H135" s="115">
        <v>273.59786022874698</v>
      </c>
      <c r="I135" s="115">
        <v>262.91246372440855</v>
      </c>
      <c r="J135" s="115">
        <v>252.22706722007013</v>
      </c>
      <c r="K135" s="115">
        <v>241.5416707157317</v>
      </c>
      <c r="L135" s="115">
        <v>231.17225300962619</v>
      </c>
      <c r="M135" s="115">
        <v>220.80283530352071</v>
      </c>
      <c r="N135" s="115">
        <v>210.4334175974152</v>
      </c>
      <c r="O135" s="115">
        <v>200.06399989130972</v>
      </c>
      <c r="P135" s="115">
        <v>189.69458218520421</v>
      </c>
      <c r="Q135" s="115">
        <v>184.86766121963299</v>
      </c>
      <c r="R135" s="115">
        <v>180.0407402540618</v>
      </c>
      <c r="S135" s="115">
        <v>175.21381928849058</v>
      </c>
      <c r="T135" s="115">
        <v>170.38689832291939</v>
      </c>
      <c r="U135" s="115">
        <v>165.55997735734817</v>
      </c>
      <c r="V135" s="115">
        <v>158.58816528932559</v>
      </c>
      <c r="W135" s="115">
        <v>151.616353221303</v>
      </c>
      <c r="X135" s="115">
        <v>144.64454115328039</v>
      </c>
      <c r="Y135" s="115">
        <v>137.6727290852578</v>
      </c>
      <c r="Z135" s="115">
        <v>130.70091701723521</v>
      </c>
      <c r="AA135" s="115">
        <v>128.42642464524369</v>
      </c>
      <c r="AB135" s="115">
        <v>126.15193227325214</v>
      </c>
      <c r="AC135" s="115">
        <v>123.8774399012606</v>
      </c>
      <c r="AD135" s="115">
        <v>121.60294752926907</v>
      </c>
      <c r="AE135" s="115">
        <v>119.32845515727753</v>
      </c>
      <c r="AF135" s="115">
        <v>116.50388161937026</v>
      </c>
      <c r="AG135" s="115">
        <v>113.67930808146299</v>
      </c>
      <c r="AH135" s="115">
        <v>110.85473454355574</v>
      </c>
      <c r="AI135" s="115">
        <v>108.03016100564847</v>
      </c>
      <c r="AJ135" s="115">
        <v>105.2055874677412</v>
      </c>
      <c r="AK135" s="115">
        <v>102.53503399220023</v>
      </c>
      <c r="AL135" s="115">
        <v>99.864480516659256</v>
      </c>
      <c r="AM135" s="115">
        <v>97.193927041118286</v>
      </c>
      <c r="AN135" s="115">
        <v>94.523373565577316</v>
      </c>
      <c r="AO135" s="115">
        <v>91.852820090036346</v>
      </c>
      <c r="AP135" s="115">
        <v>90.521881414977642</v>
      </c>
      <c r="AQ135" s="115">
        <v>89.190942739918952</v>
      </c>
      <c r="AR135" s="115">
        <v>87.860004064860249</v>
      </c>
      <c r="AS135" s="115">
        <v>86.529065389801559</v>
      </c>
      <c r="AT135" s="115">
        <v>85.198126714742855</v>
      </c>
      <c r="AU135" s="115" t="s">
        <v>74</v>
      </c>
    </row>
    <row r="136" spans="2:47">
      <c r="B136" t="s">
        <v>182</v>
      </c>
      <c r="H136" s="115">
        <v>482.8115183765791</v>
      </c>
      <c r="I136" s="115">
        <v>499.4770745047918</v>
      </c>
      <c r="J136" s="115">
        <v>516.1426306330045</v>
      </c>
      <c r="K136" s="115">
        <v>532.80818676121714</v>
      </c>
      <c r="L136" s="115">
        <v>522.66287205421781</v>
      </c>
      <c r="M136" s="115">
        <v>512.51755734721849</v>
      </c>
      <c r="N136" s="115">
        <v>502.3722426402191</v>
      </c>
      <c r="O136" s="115">
        <v>492.22692793321977</v>
      </c>
      <c r="P136" s="115">
        <v>482.08161322622044</v>
      </c>
      <c r="Q136" s="115">
        <v>448.11532376694049</v>
      </c>
      <c r="R136" s="115">
        <v>414.1490343076606</v>
      </c>
      <c r="S136" s="115">
        <v>380.18274484838065</v>
      </c>
      <c r="T136" s="115">
        <v>346.2164553891007</v>
      </c>
      <c r="U136" s="115">
        <v>312.25016592982075</v>
      </c>
      <c r="V136" s="115">
        <v>290.04835769236371</v>
      </c>
      <c r="W136" s="115">
        <v>267.84654945490666</v>
      </c>
      <c r="X136" s="115">
        <v>245.64474121744959</v>
      </c>
      <c r="Y136" s="115">
        <v>223.44293297999252</v>
      </c>
      <c r="Z136" s="115">
        <v>201.24112474253548</v>
      </c>
      <c r="AA136" s="115">
        <v>186.26221894086018</v>
      </c>
      <c r="AB136" s="115">
        <v>171.28331313918488</v>
      </c>
      <c r="AC136" s="115">
        <v>156.30440733750959</v>
      </c>
      <c r="AD136" s="115">
        <v>141.32550153583432</v>
      </c>
      <c r="AE136" s="115">
        <v>126.34659573415902</v>
      </c>
      <c r="AF136" s="115">
        <v>117.13778310875468</v>
      </c>
      <c r="AG136" s="115">
        <v>107.92897048335033</v>
      </c>
      <c r="AH136" s="115">
        <v>98.720157857945964</v>
      </c>
      <c r="AI136" s="115">
        <v>89.511345232541615</v>
      </c>
      <c r="AJ136" s="115">
        <v>80.302532607137266</v>
      </c>
      <c r="AK136" s="115">
        <v>73.343367351897427</v>
      </c>
      <c r="AL136" s="115">
        <v>66.384202096657603</v>
      </c>
      <c r="AM136" s="115">
        <v>59.425036841417764</v>
      </c>
      <c r="AN136" s="115">
        <v>52.465871586177933</v>
      </c>
      <c r="AO136" s="115">
        <v>45.506706330938101</v>
      </c>
      <c r="AP136" s="115">
        <v>42.602741617672599</v>
      </c>
      <c r="AQ136" s="115">
        <v>39.698776904407097</v>
      </c>
      <c r="AR136" s="115">
        <v>36.794812191141602</v>
      </c>
      <c r="AS136" s="115">
        <v>33.890847477876093</v>
      </c>
      <c r="AT136" s="115">
        <v>30.986882764610595</v>
      </c>
      <c r="AU136" s="115" t="s">
        <v>74</v>
      </c>
    </row>
    <row r="171" spans="3:43">
      <c r="C171" s="199" t="s">
        <v>183</v>
      </c>
    </row>
    <row r="174" spans="3:43" ht="18.75">
      <c r="D174" s="181">
        <v>2012</v>
      </c>
      <c r="E174" s="181">
        <v>2013</v>
      </c>
      <c r="F174" s="181">
        <v>2014</v>
      </c>
      <c r="G174" s="181">
        <v>2015</v>
      </c>
      <c r="H174" s="181">
        <v>2016</v>
      </c>
      <c r="I174" s="181">
        <v>2017</v>
      </c>
      <c r="J174" s="181">
        <v>2018</v>
      </c>
      <c r="K174" s="181">
        <v>2019</v>
      </c>
      <c r="L174" s="181">
        <v>2020</v>
      </c>
      <c r="M174" s="181">
        <v>2021</v>
      </c>
      <c r="N174" s="181">
        <v>2022</v>
      </c>
      <c r="O174" s="181">
        <v>2023</v>
      </c>
      <c r="P174" s="181">
        <v>2024</v>
      </c>
      <c r="Q174" s="181">
        <v>2025</v>
      </c>
      <c r="R174" s="181">
        <v>2026</v>
      </c>
      <c r="S174" s="181">
        <v>2027</v>
      </c>
      <c r="T174" s="181">
        <v>2028</v>
      </c>
      <c r="U174" s="181">
        <v>2029</v>
      </c>
      <c r="V174" s="181">
        <v>2030</v>
      </c>
      <c r="W174" s="181">
        <v>2031</v>
      </c>
      <c r="X174" s="181">
        <v>2032</v>
      </c>
      <c r="Y174" s="181">
        <v>2033</v>
      </c>
      <c r="Z174" s="181">
        <v>2034</v>
      </c>
      <c r="AA174" s="181">
        <v>2035</v>
      </c>
      <c r="AB174" s="181">
        <v>2036</v>
      </c>
      <c r="AC174" s="181">
        <v>2037</v>
      </c>
      <c r="AD174" s="181">
        <v>2038</v>
      </c>
      <c r="AE174" s="181">
        <v>2039</v>
      </c>
      <c r="AF174" s="181">
        <v>2040</v>
      </c>
      <c r="AG174" s="181">
        <v>2041</v>
      </c>
      <c r="AH174" s="181">
        <v>2042</v>
      </c>
      <c r="AI174" s="181">
        <v>2043</v>
      </c>
      <c r="AJ174" s="181">
        <v>2044</v>
      </c>
      <c r="AK174" s="181">
        <v>2045</v>
      </c>
      <c r="AL174" s="181">
        <v>2046</v>
      </c>
      <c r="AM174" s="181">
        <v>2047</v>
      </c>
      <c r="AN174" s="181">
        <v>2048</v>
      </c>
      <c r="AO174" s="181">
        <v>2049</v>
      </c>
      <c r="AP174" s="181">
        <v>2050</v>
      </c>
      <c r="AQ174" s="181"/>
    </row>
    <row r="175" spans="3:43">
      <c r="C175" t="s">
        <v>223</v>
      </c>
      <c r="D175">
        <f>+'Raw data B2DS'!H101</f>
        <v>482.8115183765791</v>
      </c>
      <c r="E175">
        <f>+'Raw data B2DS'!I101</f>
        <v>501.04559327886631</v>
      </c>
      <c r="F175">
        <f>+'Raw data B2DS'!J101</f>
        <v>517.64065435965358</v>
      </c>
      <c r="G175">
        <f>+'Raw data B2DS'!K101</f>
        <v>532.80818676121714</v>
      </c>
      <c r="H175">
        <f>+'Raw data B2DS'!L101</f>
        <v>506.60860442645605</v>
      </c>
      <c r="I175">
        <f>+'Raw data B2DS'!M101</f>
        <v>480.98114369565928</v>
      </c>
      <c r="J175">
        <f>+'Raw data B2DS'!N101</f>
        <v>455.90726680132599</v>
      </c>
      <c r="K175">
        <f>+'Raw data B2DS'!O101</f>
        <v>431.36922829438936</v>
      </c>
      <c r="L175">
        <f>+'Raw data B2DS'!P101</f>
        <v>407.35003316137016</v>
      </c>
      <c r="M175">
        <f>+'Raw data B2DS'!Q101</f>
        <v>389.10623324000909</v>
      </c>
      <c r="N175">
        <f>+'Raw data B2DS'!R101</f>
        <v>370.74779638721594</v>
      </c>
      <c r="O175">
        <f>+'Raw data B2DS'!S101</f>
        <v>352.27363869684206</v>
      </c>
      <c r="P175">
        <f>+'Raw data B2DS'!T101</f>
        <v>333.68266255491613</v>
      </c>
      <c r="Q175">
        <f>+'Raw data B2DS'!U101</f>
        <v>314.97375642225882</v>
      </c>
      <c r="R175">
        <f>+'Raw data B2DS'!V101</f>
        <v>286.13690701949264</v>
      </c>
      <c r="S175">
        <f>+'Raw data B2DS'!W101</f>
        <v>259.28088784127044</v>
      </c>
      <c r="T175">
        <f>+'Raw data B2DS'!X101</f>
        <v>234.20837832657554</v>
      </c>
      <c r="U175">
        <f>+'Raw data B2DS'!Y101</f>
        <v>210.74742377813649</v>
      </c>
      <c r="V175">
        <f>+'Raw data B2DS'!Z101</f>
        <v>188.7474862521465</v>
      </c>
      <c r="W175">
        <f>+'Raw data B2DS'!AA101</f>
        <v>175.41156886662114</v>
      </c>
      <c r="X175">
        <f>+'Raw data B2DS'!AB101</f>
        <v>162.14814874612676</v>
      </c>
      <c r="Y175">
        <f>+'Raw data B2DS'!AC101</f>
        <v>148.95663632423529</v>
      </c>
      <c r="Z175">
        <f>+'Raw data B2DS'!AD101</f>
        <v>135.8364484099111</v>
      </c>
      <c r="AA175">
        <f>+'Raw data B2DS'!AE101</f>
        <v>122.7870081015667</v>
      </c>
      <c r="AB175">
        <f>+'Raw data B2DS'!AF101</f>
        <v>110.59326106485918</v>
      </c>
      <c r="AC175">
        <f>+'Raw data B2DS'!AG101</f>
        <v>98.670663820561828</v>
      </c>
      <c r="AD175">
        <f>+'Raw data B2DS'!AH101</f>
        <v>87.010271568994156</v>
      </c>
      <c r="AE175">
        <f>+'Raw data B2DS'!AI101</f>
        <v>75.603528664210344</v>
      </c>
      <c r="AF175">
        <f>+'Raw data B2DS'!AJ101</f>
        <v>64.442247678482516</v>
      </c>
      <c r="AG175">
        <f>+'Raw data B2DS'!AK101</f>
        <v>53.709437289970083</v>
      </c>
      <c r="AH175">
        <f>+'Raw data B2DS'!AL101</f>
        <v>43.604398915081724</v>
      </c>
      <c r="AI175">
        <f>+'Raw data B2DS'!AM101</f>
        <v>34.07361912948862</v>
      </c>
      <c r="AJ175">
        <f>+'Raw data B2DS'!AN101</f>
        <v>25.069498682793878</v>
      </c>
      <c r="AK175">
        <f>+'Raw data B2DS'!AO101</f>
        <v>16.549557440301911</v>
      </c>
      <c r="AL175">
        <f>+'Raw data B2DS'!AP101</f>
        <v>11.819837151046098</v>
      </c>
      <c r="AM175">
        <f>+'Raw data B2DS'!AQ101</f>
        <v>7.1083679635600392</v>
      </c>
      <c r="AN175">
        <f>+'Raw data B2DS'!AR101</f>
        <v>2.4150444399184359</v>
      </c>
      <c r="AO175">
        <f>+'Raw data B2DS'!AS101</f>
        <v>-2.2602380472017005</v>
      </c>
      <c r="AP175">
        <f>+'Raw data B2DS'!AT101</f>
        <v>-6.9175833222959371</v>
      </c>
    </row>
    <row r="176" spans="3:43">
      <c r="C176" t="s">
        <v>224</v>
      </c>
      <c r="D176">
        <f>+'Raw data B2DS'!H102</f>
        <v>273.59786022874698</v>
      </c>
      <c r="E176">
        <f>+'Raw data B2DS'!I102</f>
        <v>261.90678201198671</v>
      </c>
      <c r="F176">
        <f>+'Raw data B2DS'!J102</f>
        <v>251.26658457136608</v>
      </c>
      <c r="G176">
        <f>+'Raw data B2DS'!K102</f>
        <v>241.54167071573167</v>
      </c>
      <c r="H176">
        <f>+'Raw data B2DS'!L102</f>
        <v>233.94147346715911</v>
      </c>
      <c r="I176">
        <f>+'Raw data B2DS'!M102</f>
        <v>226.50724211013159</v>
      </c>
      <c r="J176">
        <f>+'Raw data B2DS'!N102</f>
        <v>219.23359905168783</v>
      </c>
      <c r="K176">
        <f>+'Raw data B2DS'!O102</f>
        <v>212.11539654132369</v>
      </c>
      <c r="L176">
        <f>+'Raw data B2DS'!P102</f>
        <v>205.14770452126061</v>
      </c>
      <c r="M176">
        <f>+'Raw data B2DS'!Q102</f>
        <v>201.05026082875585</v>
      </c>
      <c r="N176">
        <f>+'Raw data B2DS'!R102</f>
        <v>196.92707039633675</v>
      </c>
      <c r="O176">
        <f>+'Raw data B2DS'!S102</f>
        <v>192.77788978544163</v>
      </c>
      <c r="P176">
        <f>+'Raw data B2DS'!T102</f>
        <v>188.60247247881742</v>
      </c>
      <c r="Q176">
        <f>+'Raw data B2DS'!U102</f>
        <v>184.40056883169603</v>
      </c>
      <c r="R176">
        <f>+'Raw data B2DS'!V102</f>
        <v>173.76317113560361</v>
      </c>
      <c r="S176">
        <f>+'Raw data B2DS'!W102</f>
        <v>163.85646626148409</v>
      </c>
      <c r="T176">
        <f>+'Raw data B2DS'!X102</f>
        <v>154.60766618551995</v>
      </c>
      <c r="U176">
        <f>+'Raw data B2DS'!Y102</f>
        <v>145.95333989709562</v>
      </c>
      <c r="V176">
        <f>+'Raw data B2DS'!Z102</f>
        <v>137.83795664268592</v>
      </c>
      <c r="W176">
        <f>+'Raw data B2DS'!AA102</f>
        <v>135.96697002114971</v>
      </c>
      <c r="X176">
        <f>+'Raw data B2DS'!AB102</f>
        <v>134.10615453438064</v>
      </c>
      <c r="Y176">
        <f>+'Raw data B2DS'!AC102</f>
        <v>132.25542746809154</v>
      </c>
      <c r="Z176">
        <f>+'Raw data B2DS'!AD102</f>
        <v>130.4147070024425</v>
      </c>
      <c r="AA176">
        <f>+'Raw data B2DS'!AE102</f>
        <v>128.58391219998313</v>
      </c>
      <c r="AB176">
        <f>+'Raw data B2DS'!AF102</f>
        <v>125.87737732312002</v>
      </c>
      <c r="AC176">
        <f>+'Raw data B2DS'!AG102</f>
        <v>123.23102709399504</v>
      </c>
      <c r="AD176">
        <f>+'Raw data B2DS'!AH102</f>
        <v>120.64287611696003</v>
      </c>
      <c r="AE176">
        <f>+'Raw data B2DS'!AI102</f>
        <v>118.11102537327389</v>
      </c>
      <c r="AF176">
        <f>+'Raw data B2DS'!AJ102</f>
        <v>115.63365757423693</v>
      </c>
      <c r="AG176">
        <f>+'Raw data B2DS'!AK102</f>
        <v>110.18353963003167</v>
      </c>
      <c r="AH176">
        <f>+'Raw data B2DS'!AL102</f>
        <v>105.05220412886523</v>
      </c>
      <c r="AI176">
        <f>+'Raw data B2DS'!AM102</f>
        <v>100.21247696967438</v>
      </c>
      <c r="AJ176">
        <f>+'Raw data B2DS'!AN102</f>
        <v>95.640187267171015</v>
      </c>
      <c r="AK176">
        <f>+'Raw data B2DS'!AO102</f>
        <v>91.313763621507789</v>
      </c>
      <c r="AL176">
        <f>+'Raw data B2DS'!AP102</f>
        <v>89.413399514814429</v>
      </c>
      <c r="AM176">
        <f>+'Raw data B2DS'!AQ102</f>
        <v>87.520368556085359</v>
      </c>
      <c r="AN176">
        <f>+'Raw data B2DS'!AR102</f>
        <v>85.634628381198311</v>
      </c>
      <c r="AO176">
        <f>+'Raw data B2DS'!AS102</f>
        <v>83.756136951724542</v>
      </c>
      <c r="AP176">
        <f>+'Raw data B2DS'!AT102</f>
        <v>81.884852551805068</v>
      </c>
    </row>
    <row r="177" spans="2:42">
      <c r="C177" t="s">
        <v>232</v>
      </c>
      <c r="D177">
        <f>+'Raw data B2DS'!H103</f>
        <v>756.40937860532608</v>
      </c>
      <c r="E177">
        <f>+'Raw data B2DS'!I103</f>
        <v>762.95237529085307</v>
      </c>
      <c r="F177">
        <f>+'Raw data B2DS'!J103</f>
        <v>768.90723893101972</v>
      </c>
      <c r="G177">
        <f>+'Raw data B2DS'!K103</f>
        <v>774.34985747694884</v>
      </c>
      <c r="H177">
        <f>+'Raw data B2DS'!L103</f>
        <v>740.55007789361514</v>
      </c>
      <c r="I177">
        <f>+'Raw data B2DS'!M103</f>
        <v>707.48838580579081</v>
      </c>
      <c r="J177">
        <f>+'Raw data B2DS'!N103</f>
        <v>675.14086585301379</v>
      </c>
      <c r="K177">
        <f>+'Raw data B2DS'!O103</f>
        <v>643.48462483571302</v>
      </c>
      <c r="L177">
        <f>+'Raw data B2DS'!P103</f>
        <v>612.49773768263071</v>
      </c>
      <c r="M177">
        <f>+'Raw data B2DS'!Q103</f>
        <v>590.15649406876491</v>
      </c>
      <c r="N177">
        <f>+'Raw data B2DS'!R103</f>
        <v>567.67486678355272</v>
      </c>
      <c r="O177">
        <f>+'Raw data B2DS'!S103</f>
        <v>545.05152848228363</v>
      </c>
      <c r="P177">
        <f>+'Raw data B2DS'!T103</f>
        <v>522.28513503373358</v>
      </c>
      <c r="Q177">
        <f>+'Raw data B2DS'!U103</f>
        <v>499.37432525395485</v>
      </c>
      <c r="R177">
        <f>+'Raw data B2DS'!V103</f>
        <v>459.90007815509625</v>
      </c>
      <c r="S177">
        <f>+'Raw data B2DS'!W103</f>
        <v>423.13735410275456</v>
      </c>
      <c r="T177">
        <f>+'Raw data B2DS'!X103</f>
        <v>388.81604451209546</v>
      </c>
      <c r="U177">
        <f>+'Raw data B2DS'!Y103</f>
        <v>356.70076367523211</v>
      </c>
      <c r="V177">
        <f>+'Raw data B2DS'!Z103</f>
        <v>326.58544289483245</v>
      </c>
      <c r="W177">
        <f>+'Raw data B2DS'!AA103</f>
        <v>311.37853888777084</v>
      </c>
      <c r="X177">
        <f>+'Raw data B2DS'!AB103</f>
        <v>296.25430328050743</v>
      </c>
      <c r="Y177">
        <f>+'Raw data B2DS'!AC103</f>
        <v>281.21206379232683</v>
      </c>
      <c r="Z177">
        <f>+'Raw data B2DS'!AD103</f>
        <v>266.25115541235357</v>
      </c>
      <c r="AA177">
        <f>+'Raw data B2DS'!AE103</f>
        <v>251.37092030154983</v>
      </c>
      <c r="AB177">
        <f>+'Raw data B2DS'!AF103</f>
        <v>236.47063838797919</v>
      </c>
      <c r="AC177">
        <f>+'Raw data B2DS'!AG103</f>
        <v>221.90169091455687</v>
      </c>
      <c r="AD177">
        <f>+'Raw data B2DS'!AH103</f>
        <v>207.6531476859542</v>
      </c>
      <c r="AE177">
        <f>+'Raw data B2DS'!AI103</f>
        <v>193.71455403748422</v>
      </c>
      <c r="AF177">
        <f>+'Raw data B2DS'!AJ103</f>
        <v>180.07590525271945</v>
      </c>
      <c r="AG177">
        <f>+'Raw data B2DS'!AK103</f>
        <v>163.89297692000176</v>
      </c>
      <c r="AH177">
        <f>+'Raw data B2DS'!AL103</f>
        <v>148.65660304394694</v>
      </c>
      <c r="AI177">
        <f>+'Raw data B2DS'!AM103</f>
        <v>134.28609609916299</v>
      </c>
      <c r="AJ177">
        <f>+'Raw data B2DS'!AN103</f>
        <v>120.70968594996489</v>
      </c>
      <c r="AK177">
        <f>+'Raw data B2DS'!AO103</f>
        <v>107.8633210618097</v>
      </c>
      <c r="AL177">
        <f>+'Raw data B2DS'!AP103</f>
        <v>101.23323666586053</v>
      </c>
      <c r="AM177">
        <f>+'Raw data B2DS'!AQ103</f>
        <v>94.6287365196454</v>
      </c>
      <c r="AN177">
        <f>+'Raw data B2DS'!AR103</f>
        <v>88.049672821116744</v>
      </c>
      <c r="AO177">
        <f>+'Raw data B2DS'!AS103</f>
        <v>81.495898904522846</v>
      </c>
      <c r="AP177">
        <f>+'Raw data B2DS'!AT103</f>
        <v>74.967269229509128</v>
      </c>
    </row>
    <row r="178" spans="2:42">
      <c r="C178" t="s">
        <v>225</v>
      </c>
      <c r="D178">
        <f>+'Raw data 2DS'!H101</f>
        <v>482.8115183765791</v>
      </c>
      <c r="E178">
        <f>+'Raw data 2DS'!I101</f>
        <v>501.04559327886631</v>
      </c>
      <c r="F178">
        <f>+'Raw data 2DS'!J101</f>
        <v>517.64065435965358</v>
      </c>
      <c r="G178">
        <f>+'Raw data 2DS'!K101</f>
        <v>532.80818676121714</v>
      </c>
      <c r="H178">
        <f>+'Raw data 2DS'!L101</f>
        <v>520.95741662079877</v>
      </c>
      <c r="I178">
        <f>+'Raw data 2DS'!M101</f>
        <v>509.0324798933392</v>
      </c>
      <c r="J178">
        <f>+'Raw data 2DS'!N101</f>
        <v>497.03267814963067</v>
      </c>
      <c r="K178">
        <f>+'Raw data 2DS'!O101</f>
        <v>484.95730416334231</v>
      </c>
      <c r="L178">
        <f>+'Raw data 2DS'!P101</f>
        <v>472.8056417720781</v>
      </c>
      <c r="M178">
        <f>+'Raw data 2DS'!Q101</f>
        <v>450.02696917418547</v>
      </c>
      <c r="N178">
        <f>+'Raw data 2DS'!R101</f>
        <v>428.13324681780529</v>
      </c>
      <c r="O178">
        <f>+'Raw data 2DS'!S101</f>
        <v>407.07388696243669</v>
      </c>
      <c r="P178">
        <f>+'Raw data 2DS'!T101</f>
        <v>386.80208553447312</v>
      </c>
      <c r="Q178">
        <f>+'Raw data 2DS'!U101</f>
        <v>367.27447487513666</v>
      </c>
      <c r="R178">
        <f>+'Raw data 2DS'!V101</f>
        <v>331.68432307200931</v>
      </c>
      <c r="S178">
        <f>+'Raw data 2DS'!W101</f>
        <v>298.90579063637983</v>
      </c>
      <c r="T178">
        <f>+'Raw data 2DS'!X101</f>
        <v>268.61836136256085</v>
      </c>
      <c r="U178">
        <f>+'Raw data 2DS'!Y101</f>
        <v>240.5484527952641</v>
      </c>
      <c r="V178">
        <f>+'Raw data 2DS'!Z101</f>
        <v>214.46112887334994</v>
      </c>
      <c r="W178">
        <f>+'Raw data 2DS'!AA101</f>
        <v>200.26152250873511</v>
      </c>
      <c r="X178">
        <f>+'Raw data 2DS'!AB101</f>
        <v>185.95658866998173</v>
      </c>
      <c r="Y178">
        <f>+'Raw data 2DS'!AC101</f>
        <v>171.54515107358804</v>
      </c>
      <c r="Z178">
        <f>+'Raw data 2DS'!AD101</f>
        <v>157.02601585516425</v>
      </c>
      <c r="AA178">
        <f>+'Raw data 2DS'!AE101</f>
        <v>142.39797123974256</v>
      </c>
      <c r="AB178">
        <f>+'Raw data 2DS'!AF101</f>
        <v>132.57438782309436</v>
      </c>
      <c r="AC178">
        <f>+'Raw data 2DS'!AG101</f>
        <v>122.92706451033379</v>
      </c>
      <c r="AD178">
        <f>+'Raw data 2DS'!AH101</f>
        <v>113.45129964856483</v>
      </c>
      <c r="AE178">
        <f>+'Raw data 2DS'!AI101</f>
        <v>104.14255733025067</v>
      </c>
      <c r="AF178">
        <f>+'Raw data 2DS'!AJ101</f>
        <v>94.996460153331924</v>
      </c>
      <c r="AG178">
        <f>+'Raw data 2DS'!AK101</f>
        <v>84.844169268975961</v>
      </c>
      <c r="AH178">
        <f>+'Raw data 2DS'!AL101</f>
        <v>75.385074540562741</v>
      </c>
      <c r="AI178">
        <f>+'Raw data 2DS'!AM101</f>
        <v>66.550522859319784</v>
      </c>
      <c r="AJ178">
        <f>+'Raw data 2DS'!AN101</f>
        <v>58.280637130113817</v>
      </c>
      <c r="AK178">
        <f>+'Raw data 2DS'!AO101</f>
        <v>50.522957387280591</v>
      </c>
      <c r="AL178">
        <f>+'Raw data 2DS'!AP101</f>
        <v>47.693591341686847</v>
      </c>
      <c r="AM178">
        <f>+'Raw data 2DS'!AQ101</f>
        <v>44.837203929350231</v>
      </c>
      <c r="AN178">
        <f>+'Raw data 2DS'!AR101</f>
        <v>41.953406198691155</v>
      </c>
      <c r="AO178">
        <f>+'Raw data 2DS'!AS101</f>
        <v>39.041801697265981</v>
      </c>
      <c r="AP178">
        <f>+'Raw data 2DS'!AT101</f>
        <v>36.101986290074898</v>
      </c>
    </row>
    <row r="179" spans="2:42">
      <c r="C179" t="s">
        <v>226</v>
      </c>
      <c r="D179">
        <f>+'Raw data 2DS'!H102</f>
        <v>273.59786022874698</v>
      </c>
      <c r="E179">
        <f>+'Raw data 2DS'!I102</f>
        <v>261.90678201198671</v>
      </c>
      <c r="F179">
        <f>+'Raw data 2DS'!J102</f>
        <v>251.26658457136608</v>
      </c>
      <c r="G179">
        <f>+'Raw data 2DS'!K102</f>
        <v>241.54167071573167</v>
      </c>
      <c r="H179">
        <f>+'Raw data 2DS'!L102</f>
        <v>238.74567038013433</v>
      </c>
      <c r="I179">
        <f>+'Raw data 2DS'!M102</f>
        <v>235.93217162040082</v>
      </c>
      <c r="J179">
        <f>+'Raw data 2DS'!N102</f>
        <v>233.10100965329116</v>
      </c>
      <c r="K179">
        <f>+'Raw data 2DS'!O102</f>
        <v>230.25201762002453</v>
      </c>
      <c r="L179">
        <f>+'Raw data 2DS'!P102</f>
        <v>227.38502655349791</v>
      </c>
      <c r="M179">
        <f>+'Raw data 2DS'!Q102</f>
        <v>219.35746139576992</v>
      </c>
      <c r="N179">
        <f>+'Raw data 2DS'!R102</f>
        <v>211.64176672542695</v>
      </c>
      <c r="O179">
        <f>+'Raw data 2DS'!S102</f>
        <v>204.22011462114006</v>
      </c>
      <c r="P179">
        <f>+'Raw data 2DS'!T102</f>
        <v>197.0760105857471</v>
      </c>
      <c r="Q179">
        <f>+'Raw data 2DS'!U102</f>
        <v>190.19417116912237</v>
      </c>
      <c r="R179">
        <f>+'Raw data 2DS'!V102</f>
        <v>180.03553016034269</v>
      </c>
      <c r="S179">
        <f>+'Raw data 2DS'!W102</f>
        <v>170.67942104200671</v>
      </c>
      <c r="T179">
        <f>+'Raw data 2DS'!X102</f>
        <v>162.03435757687993</v>
      </c>
      <c r="U179">
        <f>+'Raw data 2DS'!Y102</f>
        <v>154.02225001797427</v>
      </c>
      <c r="V179">
        <f>+'Raw data 2DS'!Z102</f>
        <v>146.57603961492703</v>
      </c>
      <c r="W179">
        <f>+'Raw data 2DS'!AA102</f>
        <v>145.20268485826625</v>
      </c>
      <c r="X179">
        <f>+'Raw data 2DS'!AB102</f>
        <v>143.81914305952137</v>
      </c>
      <c r="Y179">
        <f>+'Raw data 2DS'!AC102</f>
        <v>142.42530045113412</v>
      </c>
      <c r="Z179">
        <f>+'Raw data 2DS'!AD102</f>
        <v>141.02104156516157</v>
      </c>
      <c r="AA179">
        <f>+'Raw data 2DS'!AE102</f>
        <v>139.60624920138889</v>
      </c>
      <c r="AB179">
        <f>+'Raw data 2DS'!AF102</f>
        <v>136.76301854566168</v>
      </c>
      <c r="AC179">
        <f>+'Raw data 2DS'!AG102</f>
        <v>133.97080268865906</v>
      </c>
      <c r="AD179">
        <f>+'Raw data 2DS'!AH102</f>
        <v>131.22824083533519</v>
      </c>
      <c r="AE179">
        <f>+'Raw data 2DS'!AI102</f>
        <v>128.53402016217004</v>
      </c>
      <c r="AF179">
        <f>+'Raw data 2DS'!AJ102</f>
        <v>125.88687372173715</v>
      </c>
      <c r="AG179">
        <f>+'Raw data 2DS'!AK102</f>
        <v>120.58448282157582</v>
      </c>
      <c r="AH179">
        <f>+'Raw data 2DS'!AL102</f>
        <v>115.64413798876677</v>
      </c>
      <c r="AI179">
        <f>+'Raw data 2DS'!AM102</f>
        <v>111.02998272319888</v>
      </c>
      <c r="AJ179">
        <f>+'Raw data 2DS'!AN102</f>
        <v>106.71074410647581</v>
      </c>
      <c r="AK179">
        <f>+'Raw data 2DS'!AO102</f>
        <v>102.65902307687549</v>
      </c>
      <c r="AL179">
        <f>+'Raw data 2DS'!AP102</f>
        <v>101.90540187385761</v>
      </c>
      <c r="AM179">
        <f>+'Raw data 2DS'!AQ102</f>
        <v>101.14458334303424</v>
      </c>
      <c r="AN179">
        <f>+'Raw data 2DS'!AR102</f>
        <v>100.37646388446366</v>
      </c>
      <c r="AO179">
        <f>+'Raw data 2DS'!AS102</f>
        <v>99.600937900297197</v>
      </c>
      <c r="AP179">
        <f>+'Raw data 2DS'!AT102</f>
        <v>98.817897746384247</v>
      </c>
    </row>
    <row r="180" spans="2:42">
      <c r="C180" t="s">
        <v>233</v>
      </c>
      <c r="D180">
        <f>+'Raw data 2DS'!H103</f>
        <v>756.40937860532608</v>
      </c>
      <c r="E180">
        <f>+'Raw data 2DS'!I103</f>
        <v>762.95237529085307</v>
      </c>
      <c r="F180">
        <f>+'Raw data 2DS'!J103</f>
        <v>768.90723893101972</v>
      </c>
      <c r="G180">
        <f>+'Raw data 2DS'!K103</f>
        <v>774.34985747694884</v>
      </c>
      <c r="H180">
        <f>+'Raw data 2DS'!L103</f>
        <v>759.70308700093312</v>
      </c>
      <c r="I180">
        <f>+'Raw data 2DS'!M103</f>
        <v>744.96465151374002</v>
      </c>
      <c r="J180">
        <f>+'Raw data 2DS'!N103</f>
        <v>730.13368780292183</v>
      </c>
      <c r="K180">
        <f>+'Raw data 2DS'!O103</f>
        <v>715.20932178336682</v>
      </c>
      <c r="L180">
        <f>+'Raw data 2DS'!P103</f>
        <v>700.19066832557598</v>
      </c>
      <c r="M180">
        <f>+'Raw data 2DS'!Q103</f>
        <v>669.38443056995538</v>
      </c>
      <c r="N180">
        <f>+'Raw data 2DS'!R103</f>
        <v>639.77501354323226</v>
      </c>
      <c r="O180">
        <f>+'Raw data 2DS'!S103</f>
        <v>611.2940015835768</v>
      </c>
      <c r="P180">
        <f>+'Raw data 2DS'!T103</f>
        <v>583.87809612022022</v>
      </c>
      <c r="Q180">
        <f>+'Raw data 2DS'!U103</f>
        <v>557.468646044259</v>
      </c>
      <c r="R180">
        <f>+'Raw data 2DS'!V103</f>
        <v>511.71985323235197</v>
      </c>
      <c r="S180">
        <f>+'Raw data 2DS'!W103</f>
        <v>469.58521167838654</v>
      </c>
      <c r="T180">
        <f>+'Raw data 2DS'!X103</f>
        <v>430.65271893944077</v>
      </c>
      <c r="U180">
        <f>+'Raw data 2DS'!Y103</f>
        <v>394.57070281323837</v>
      </c>
      <c r="V180">
        <f>+'Raw data 2DS'!Z103</f>
        <v>361.03716848827696</v>
      </c>
      <c r="W180">
        <f>+'Raw data 2DS'!AA103</f>
        <v>345.46420736700134</v>
      </c>
      <c r="X180">
        <f>+'Raw data 2DS'!AB103</f>
        <v>329.77573172950309</v>
      </c>
      <c r="Y180">
        <f>+'Raw data 2DS'!AC103</f>
        <v>313.97045152472219</v>
      </c>
      <c r="Z180">
        <f>+'Raw data 2DS'!AD103</f>
        <v>298.04705742032581</v>
      </c>
      <c r="AA180">
        <f>+'Raw data 2DS'!AE103</f>
        <v>282.00422044113145</v>
      </c>
      <c r="AB180">
        <f>+'Raw data 2DS'!AF103</f>
        <v>269.33740636875604</v>
      </c>
      <c r="AC180">
        <f>+'Raw data 2DS'!AG103</f>
        <v>256.89786719899286</v>
      </c>
      <c r="AD180">
        <f>+'Raw data 2DS'!AH103</f>
        <v>244.67954048390001</v>
      </c>
      <c r="AE180">
        <f>+'Raw data 2DS'!AI103</f>
        <v>232.67657749242071</v>
      </c>
      <c r="AF180">
        <f>+'Raw data 2DS'!AJ103</f>
        <v>220.88333387506907</v>
      </c>
      <c r="AG180">
        <f>+'Raw data 2DS'!AK103</f>
        <v>205.42865209055179</v>
      </c>
      <c r="AH180">
        <f>+'Raw data 2DS'!AL103</f>
        <v>191.02921252932953</v>
      </c>
      <c r="AI180">
        <f>+'Raw data 2DS'!AM103</f>
        <v>177.58050558251867</v>
      </c>
      <c r="AJ180">
        <f>+'Raw data 2DS'!AN103</f>
        <v>164.99138123658963</v>
      </c>
      <c r="AK180">
        <f>+'Raw data 2DS'!AO103</f>
        <v>153.18198046415608</v>
      </c>
      <c r="AL180">
        <f>+'Raw data 2DS'!AP103</f>
        <v>149.59899321554445</v>
      </c>
      <c r="AM180">
        <f>+'Raw data 2DS'!AQ103</f>
        <v>145.98178727238448</v>
      </c>
      <c r="AN180">
        <f>+'Raw data 2DS'!AR103</f>
        <v>142.32987008315482</v>
      </c>
      <c r="AO180">
        <f>+'Raw data 2DS'!AS103</f>
        <v>138.64273959756318</v>
      </c>
      <c r="AP180">
        <f>+'Raw data 2DS'!AT103</f>
        <v>134.91988403645914</v>
      </c>
    </row>
    <row r="182" spans="2:42" ht="18.75">
      <c r="D182" s="181"/>
      <c r="E182" s="181"/>
      <c r="F182" s="181">
        <v>2014</v>
      </c>
      <c r="G182" s="181">
        <v>2015</v>
      </c>
      <c r="H182" s="181">
        <v>2016</v>
      </c>
      <c r="I182" s="181">
        <v>2017</v>
      </c>
      <c r="J182" s="181">
        <v>2018</v>
      </c>
      <c r="K182" s="181">
        <v>2019</v>
      </c>
      <c r="L182" s="181">
        <v>2020</v>
      </c>
      <c r="M182" s="181">
        <v>2021</v>
      </c>
      <c r="N182" s="181">
        <v>2022</v>
      </c>
      <c r="O182" s="181">
        <v>2023</v>
      </c>
      <c r="P182" s="181">
        <v>2024</v>
      </c>
      <c r="Q182" s="181">
        <v>2025</v>
      </c>
      <c r="R182" s="181">
        <v>2026</v>
      </c>
      <c r="S182" s="181">
        <v>2027</v>
      </c>
      <c r="T182" s="181">
        <v>2028</v>
      </c>
      <c r="U182" s="181">
        <v>2029</v>
      </c>
      <c r="V182" s="181">
        <v>2030</v>
      </c>
      <c r="W182" s="181">
        <v>2031</v>
      </c>
      <c r="X182" s="181">
        <v>2032</v>
      </c>
      <c r="Y182" s="181">
        <v>2033</v>
      </c>
      <c r="Z182" s="181">
        <v>2034</v>
      </c>
      <c r="AA182" s="181">
        <v>2035</v>
      </c>
      <c r="AB182" s="181">
        <v>2036</v>
      </c>
      <c r="AC182" s="181">
        <v>2037</v>
      </c>
      <c r="AD182" s="181">
        <v>2038</v>
      </c>
      <c r="AE182" s="181">
        <v>2039</v>
      </c>
      <c r="AF182" s="181">
        <v>2040</v>
      </c>
      <c r="AG182" s="181">
        <v>2041</v>
      </c>
      <c r="AH182" s="181">
        <v>2042</v>
      </c>
      <c r="AI182" s="181">
        <v>2043</v>
      </c>
      <c r="AJ182" s="181">
        <v>2044</v>
      </c>
      <c r="AK182" s="181">
        <v>2045</v>
      </c>
      <c r="AL182" s="181">
        <v>2046</v>
      </c>
      <c r="AM182" s="181">
        <v>2047</v>
      </c>
      <c r="AN182" s="181">
        <v>2048</v>
      </c>
      <c r="AO182" s="181">
        <v>2049</v>
      </c>
      <c r="AP182" s="181">
        <v>2050</v>
      </c>
    </row>
    <row r="183" spans="2:42">
      <c r="B183" t="s">
        <v>85</v>
      </c>
      <c r="C183" t="s">
        <v>219</v>
      </c>
      <c r="F183" s="207">
        <f>+J100/$J100</f>
        <v>1</v>
      </c>
      <c r="G183" s="207">
        <f t="shared" ref="G183:AP183" si="30">+K100/$J100</f>
        <v>1.0045006545658486</v>
      </c>
      <c r="H183" s="207">
        <f t="shared" si="30"/>
        <v>0.98375338125194089</v>
      </c>
      <c r="I183" s="207">
        <f t="shared" si="30"/>
        <v>0.9630061079380331</v>
      </c>
      <c r="J183" s="207">
        <f t="shared" si="30"/>
        <v>0.9422588346241253</v>
      </c>
      <c r="K183" s="207">
        <f t="shared" si="30"/>
        <v>0.9215115613102175</v>
      </c>
      <c r="L183" s="207">
        <f t="shared" si="30"/>
        <v>0.90076428799630981</v>
      </c>
      <c r="M183" s="207">
        <f t="shared" si="30"/>
        <v>0.88001701468240212</v>
      </c>
      <c r="N183" s="207">
        <f t="shared" si="30"/>
        <v>0.85926974136849443</v>
      </c>
      <c r="O183" s="207">
        <f t="shared" si="30"/>
        <v>0.83852246805458674</v>
      </c>
      <c r="P183" s="207">
        <f t="shared" si="30"/>
        <v>0.81777519474067906</v>
      </c>
      <c r="Q183" s="207">
        <f t="shared" si="30"/>
        <v>0.79702792142677126</v>
      </c>
      <c r="R183" s="207">
        <f t="shared" si="30"/>
        <v>0.77874804046634083</v>
      </c>
      <c r="S183" s="207">
        <f t="shared" si="30"/>
        <v>0.7604681595059104</v>
      </c>
      <c r="T183" s="207">
        <f t="shared" si="30"/>
        <v>0.74218827854547986</v>
      </c>
      <c r="U183" s="207">
        <f t="shared" si="30"/>
        <v>0.72390839758504955</v>
      </c>
      <c r="V183" s="207">
        <f t="shared" si="30"/>
        <v>0.70562851662461901</v>
      </c>
      <c r="W183" s="207">
        <f t="shared" si="30"/>
        <v>0.69795273763488297</v>
      </c>
      <c r="X183" s="207">
        <f t="shared" si="30"/>
        <v>0.69027695864514682</v>
      </c>
      <c r="Y183" s="207">
        <f t="shared" si="30"/>
        <v>0.68260117965541078</v>
      </c>
      <c r="Z183" s="207">
        <f t="shared" si="30"/>
        <v>0.67492540066567475</v>
      </c>
      <c r="AA183" s="207">
        <f t="shared" si="30"/>
        <v>0.6672496216759386</v>
      </c>
      <c r="AB183" s="207">
        <f t="shared" si="30"/>
        <v>0.66063258794775737</v>
      </c>
      <c r="AC183" s="207">
        <f t="shared" si="30"/>
        <v>0.65401555421957591</v>
      </c>
      <c r="AD183" s="207">
        <f t="shared" si="30"/>
        <v>0.64739852049139457</v>
      </c>
      <c r="AE183" s="207">
        <f t="shared" si="30"/>
        <v>0.64078148676321312</v>
      </c>
      <c r="AF183" s="207">
        <f t="shared" si="30"/>
        <v>0.63416445303503188</v>
      </c>
      <c r="AG183" s="207">
        <f t="shared" si="30"/>
        <v>0.62304479277844071</v>
      </c>
      <c r="AH183" s="207">
        <f t="shared" si="30"/>
        <v>0.61192513252184966</v>
      </c>
      <c r="AI183" s="207">
        <f t="shared" si="30"/>
        <v>0.60080547226525871</v>
      </c>
      <c r="AJ183" s="207">
        <f t="shared" si="30"/>
        <v>0.58968581200866754</v>
      </c>
      <c r="AK183" s="207">
        <f t="shared" si="30"/>
        <v>0.57856615175207649</v>
      </c>
      <c r="AL183" s="207">
        <f t="shared" si="30"/>
        <v>0.56762269189290226</v>
      </c>
      <c r="AM183" s="207">
        <f t="shared" si="30"/>
        <v>0.55667923203372816</v>
      </c>
      <c r="AN183" s="207">
        <f t="shared" si="30"/>
        <v>0.54573577217455405</v>
      </c>
      <c r="AO183" s="207">
        <f t="shared" si="30"/>
        <v>0.53479231231537994</v>
      </c>
      <c r="AP183" s="207">
        <f t="shared" si="30"/>
        <v>0.52384885245620583</v>
      </c>
    </row>
    <row r="184" spans="2:42">
      <c r="B184" t="s">
        <v>85</v>
      </c>
      <c r="C184" t="s">
        <v>220</v>
      </c>
      <c r="F184" s="207">
        <f>+J99/$J99</f>
        <v>1</v>
      </c>
      <c r="G184" s="207">
        <f t="shared" ref="G184:AP184" si="31">+K99/$J99</f>
        <v>1.0755618919031487</v>
      </c>
      <c r="H184" s="207">
        <f t="shared" si="31"/>
        <v>1.0340890462481236</v>
      </c>
      <c r="I184" s="207">
        <f t="shared" si="31"/>
        <v>0.99261620059309852</v>
      </c>
      <c r="J184" s="207">
        <f t="shared" si="31"/>
        <v>0.95114335493807356</v>
      </c>
      <c r="K184" s="207">
        <f t="shared" si="31"/>
        <v>0.90967050928304838</v>
      </c>
      <c r="L184" s="207">
        <f t="shared" si="31"/>
        <v>0.86819766362802331</v>
      </c>
      <c r="M184" s="207">
        <f t="shared" si="31"/>
        <v>0.82672481797299835</v>
      </c>
      <c r="N184" s="207">
        <f t="shared" si="31"/>
        <v>0.78525197231797339</v>
      </c>
      <c r="O184" s="207">
        <f t="shared" si="31"/>
        <v>0.74377912666294832</v>
      </c>
      <c r="P184" s="207">
        <f t="shared" si="31"/>
        <v>0.70230628100792336</v>
      </c>
      <c r="Q184" s="207">
        <f t="shared" si="31"/>
        <v>0.66083343535289829</v>
      </c>
      <c r="R184" s="207">
        <f t="shared" si="31"/>
        <v>0.62247149784343936</v>
      </c>
      <c r="S184" s="207">
        <f t="shared" si="31"/>
        <v>0.58410956033398043</v>
      </c>
      <c r="T184" s="207">
        <f t="shared" si="31"/>
        <v>0.54574762282452149</v>
      </c>
      <c r="U184" s="207">
        <f t="shared" si="31"/>
        <v>0.50738568531506245</v>
      </c>
      <c r="V184" s="207">
        <f t="shared" si="31"/>
        <v>0.46902374780560346</v>
      </c>
      <c r="W184" s="207">
        <f t="shared" si="31"/>
        <v>0.43707622892223907</v>
      </c>
      <c r="X184" s="207">
        <f t="shared" si="31"/>
        <v>0.40512871003887474</v>
      </c>
      <c r="Y184" s="207">
        <f t="shared" si="31"/>
        <v>0.37318119115551035</v>
      </c>
      <c r="Z184" s="207">
        <f t="shared" si="31"/>
        <v>0.34123367227214602</v>
      </c>
      <c r="AA184" s="207">
        <f t="shared" si="31"/>
        <v>0.30928615338878168</v>
      </c>
      <c r="AB184" s="207">
        <f t="shared" si="31"/>
        <v>0.28173923462588429</v>
      </c>
      <c r="AC184" s="207">
        <f t="shared" si="31"/>
        <v>0.25419231586298696</v>
      </c>
      <c r="AD184" s="207">
        <f t="shared" si="31"/>
        <v>0.22664539710008957</v>
      </c>
      <c r="AE184" s="207">
        <f t="shared" si="31"/>
        <v>0.19909847833719221</v>
      </c>
      <c r="AF184" s="207">
        <f t="shared" si="31"/>
        <v>0.17155155957429485</v>
      </c>
      <c r="AG184" s="207">
        <f t="shared" si="31"/>
        <v>0.1474210540502853</v>
      </c>
      <c r="AH184" s="207">
        <f t="shared" si="31"/>
        <v>0.12329054852627575</v>
      </c>
      <c r="AI184" s="207">
        <f t="shared" si="31"/>
        <v>9.9160043002266177E-2</v>
      </c>
      <c r="AJ184" s="207">
        <f t="shared" si="31"/>
        <v>7.5029537478256622E-2</v>
      </c>
      <c r="AK184" s="207">
        <f t="shared" si="31"/>
        <v>5.0899031954247075E-2</v>
      </c>
      <c r="AL184" s="207">
        <f t="shared" si="31"/>
        <v>3.6422939614479614E-2</v>
      </c>
      <c r="AM184" s="207">
        <f t="shared" si="31"/>
        <v>2.1946847274712158E-2</v>
      </c>
      <c r="AN184" s="207">
        <f t="shared" si="31"/>
        <v>7.4707549349446976E-3</v>
      </c>
      <c r="AO184" s="207">
        <f t="shared" si="31"/>
        <v>-7.0053374048227616E-3</v>
      </c>
      <c r="AP184" s="207">
        <f t="shared" si="31"/>
        <v>-2.1481429744590209E-2</v>
      </c>
    </row>
    <row r="185" spans="2:42">
      <c r="B185" t="s">
        <v>85</v>
      </c>
      <c r="C185" s="158" t="s">
        <v>221</v>
      </c>
      <c r="F185" s="207">
        <f>+J98/$J98</f>
        <v>1</v>
      </c>
      <c r="G185" s="207">
        <f t="shared" ref="G185:AP185" si="32">+K98/$J98</f>
        <v>1.0449437065023317</v>
      </c>
      <c r="H185" s="207">
        <f t="shared" si="32"/>
        <v>1.0566076570531993</v>
      </c>
      <c r="I185" s="207">
        <f t="shared" si="32"/>
        <v>1.068271607604067</v>
      </c>
      <c r="J185" s="207">
        <f t="shared" si="32"/>
        <v>1.0799355581549346</v>
      </c>
      <c r="K185" s="207">
        <f t="shared" si="32"/>
        <v>1.0915995087058024</v>
      </c>
      <c r="L185" s="207">
        <f t="shared" si="32"/>
        <v>1.1032634592566699</v>
      </c>
      <c r="M185" s="207">
        <f t="shared" si="32"/>
        <v>1.0998188648572531</v>
      </c>
      <c r="N185" s="207">
        <f t="shared" si="32"/>
        <v>1.0963742704578363</v>
      </c>
      <c r="O185" s="207">
        <f t="shared" si="32"/>
        <v>1.0929296760584195</v>
      </c>
      <c r="P185" s="207">
        <f t="shared" si="32"/>
        <v>1.0894850816590027</v>
      </c>
      <c r="Q185" s="207">
        <f t="shared" si="32"/>
        <v>1.0860404872595859</v>
      </c>
      <c r="R185" s="207">
        <f t="shared" si="32"/>
        <v>1.1260922501058597</v>
      </c>
      <c r="S185" s="207">
        <f t="shared" si="32"/>
        <v>1.1661440129521337</v>
      </c>
      <c r="T185" s="207">
        <f t="shared" si="32"/>
        <v>1.2061957757984074</v>
      </c>
      <c r="U185" s="207">
        <f t="shared" si="32"/>
        <v>1.2462475386446814</v>
      </c>
      <c r="V185" s="207">
        <f t="shared" si="32"/>
        <v>1.2862993014909552</v>
      </c>
      <c r="W185" s="207">
        <f t="shared" si="32"/>
        <v>1.2898147289041786</v>
      </c>
      <c r="X185" s="207">
        <f t="shared" si="32"/>
        <v>1.293330156317402</v>
      </c>
      <c r="Y185" s="207">
        <f t="shared" si="32"/>
        <v>1.2968455837306252</v>
      </c>
      <c r="Z185" s="207">
        <f t="shared" si="32"/>
        <v>1.3003610111438486</v>
      </c>
      <c r="AA185" s="207">
        <f t="shared" si="32"/>
        <v>1.303876438557072</v>
      </c>
      <c r="AB185" s="207">
        <f t="shared" si="32"/>
        <v>1.3187031503212545</v>
      </c>
      <c r="AC185" s="207">
        <f t="shared" si="32"/>
        <v>1.3335298620854368</v>
      </c>
      <c r="AD185" s="207">
        <f t="shared" si="32"/>
        <v>1.3483565738496193</v>
      </c>
      <c r="AE185" s="207">
        <f t="shared" si="32"/>
        <v>1.3631832856138018</v>
      </c>
      <c r="AF185" s="207">
        <f t="shared" si="32"/>
        <v>1.378009997377984</v>
      </c>
      <c r="AG185" s="207">
        <f t="shared" si="32"/>
        <v>1.4208141945890429</v>
      </c>
      <c r="AH185" s="207">
        <f t="shared" si="32"/>
        <v>1.4636183918001016</v>
      </c>
      <c r="AI185" s="207">
        <f t="shared" si="32"/>
        <v>1.5064225890111604</v>
      </c>
      <c r="AJ185" s="207">
        <f t="shared" si="32"/>
        <v>1.5492267862222193</v>
      </c>
      <c r="AK185" s="207">
        <f t="shared" si="32"/>
        <v>1.592030983433278</v>
      </c>
      <c r="AL185" s="207">
        <f t="shared" si="32"/>
        <v>1.595114556554845</v>
      </c>
      <c r="AM185" s="207">
        <f t="shared" si="32"/>
        <v>1.5981981296764121</v>
      </c>
      <c r="AN185" s="207">
        <f t="shared" si="32"/>
        <v>1.6012817027979791</v>
      </c>
      <c r="AO185" s="207">
        <f t="shared" si="32"/>
        <v>1.6043652759195461</v>
      </c>
      <c r="AP185" s="207">
        <f t="shared" si="32"/>
        <v>1.607448849041113</v>
      </c>
    </row>
    <row r="186" spans="2:42">
      <c r="B186" t="s">
        <v>85</v>
      </c>
      <c r="C186" s="158" t="s">
        <v>222</v>
      </c>
      <c r="F186" s="207">
        <f>+J103/$J103</f>
        <v>1</v>
      </c>
      <c r="G186" s="207">
        <f t="shared" ref="G186:AP186" si="33">+K103/$J103</f>
        <v>1.0070783812017374</v>
      </c>
      <c r="H186" s="207">
        <f t="shared" si="33"/>
        <v>0.96312017939013239</v>
      </c>
      <c r="I186" s="207">
        <f t="shared" si="33"/>
        <v>0.92012189505379471</v>
      </c>
      <c r="J186" s="207">
        <f t="shared" si="33"/>
        <v>0.8780524251425107</v>
      </c>
      <c r="K186" s="207">
        <f t="shared" si="33"/>
        <v>0.83688199597434321</v>
      </c>
      <c r="L186" s="207">
        <f t="shared" si="33"/>
        <v>0.79658209296372506</v>
      </c>
      <c r="M186" s="207">
        <f t="shared" si="33"/>
        <v>0.76752625568883359</v>
      </c>
      <c r="N186" s="207">
        <f t="shared" si="33"/>
        <v>0.73828784285184756</v>
      </c>
      <c r="O186" s="207">
        <f t="shared" si="33"/>
        <v>0.70886512817859082</v>
      </c>
      <c r="P186" s="207">
        <f t="shared" si="33"/>
        <v>0.67925636356323715</v>
      </c>
      <c r="Q186" s="207">
        <f t="shared" si="33"/>
        <v>0.64945977872209204</v>
      </c>
      <c r="R186" s="207">
        <f t="shared" si="33"/>
        <v>0.59812166522775434</v>
      </c>
      <c r="S186" s="207">
        <f t="shared" si="33"/>
        <v>0.55031001488687392</v>
      </c>
      <c r="T186" s="207">
        <f t="shared" si="33"/>
        <v>0.50567353879077859</v>
      </c>
      <c r="U186" s="207">
        <f t="shared" si="33"/>
        <v>0.46390610676411187</v>
      </c>
      <c r="V186" s="207">
        <f t="shared" si="33"/>
        <v>0.42473971678153377</v>
      </c>
      <c r="W186" s="207">
        <f t="shared" si="33"/>
        <v>0.40496242345262307</v>
      </c>
      <c r="X186" s="207">
        <f t="shared" si="33"/>
        <v>0.38529264426275617</v>
      </c>
      <c r="Y186" s="207">
        <f t="shared" si="33"/>
        <v>0.36572950487926797</v>
      </c>
      <c r="Z186" s="207">
        <f t="shared" si="33"/>
        <v>0.34627214042426191</v>
      </c>
      <c r="AA186" s="207">
        <f t="shared" si="33"/>
        <v>0.32691969534715337</v>
      </c>
      <c r="AB186" s="207">
        <f t="shared" si="33"/>
        <v>0.30754117846092155</v>
      </c>
      <c r="AC186" s="207">
        <f t="shared" si="33"/>
        <v>0.28859357758558457</v>
      </c>
      <c r="AD186" s="207">
        <f t="shared" si="33"/>
        <v>0.27006267748843915</v>
      </c>
      <c r="AE186" s="207">
        <f t="shared" si="33"/>
        <v>0.25193488138672959</v>
      </c>
      <c r="AF186" s="207">
        <f t="shared" si="33"/>
        <v>0.23419717767655773</v>
      </c>
      <c r="AG186" s="207">
        <f t="shared" si="33"/>
        <v>0.21315051884263109</v>
      </c>
      <c r="AH186" s="207">
        <f t="shared" si="33"/>
        <v>0.19333489856412087</v>
      </c>
      <c r="AI186" s="207">
        <f t="shared" si="33"/>
        <v>0.17464537892224224</v>
      </c>
      <c r="AJ186" s="207">
        <f t="shared" si="33"/>
        <v>0.15698861948260837</v>
      </c>
      <c r="AK186" s="207">
        <f t="shared" si="33"/>
        <v>0.1402813182143631</v>
      </c>
      <c r="AL186" s="207">
        <f t="shared" si="33"/>
        <v>0.13165858186821203</v>
      </c>
      <c r="AM186" s="207">
        <f t="shared" si="33"/>
        <v>0.12306911904120432</v>
      </c>
      <c r="AN186" s="207">
        <f t="shared" si="33"/>
        <v>0.11451273750983097</v>
      </c>
      <c r="AO186" s="207">
        <f t="shared" si="33"/>
        <v>0.10598924652838912</v>
      </c>
      <c r="AP186" s="207">
        <f t="shared" si="33"/>
        <v>9.7498456814807802E-2</v>
      </c>
    </row>
    <row r="187" spans="2:42" ht="18.75">
      <c r="D187" s="181"/>
      <c r="E187" s="181"/>
      <c r="F187" s="181">
        <v>2014</v>
      </c>
      <c r="G187" s="181">
        <v>2015</v>
      </c>
      <c r="H187" s="181">
        <v>2016</v>
      </c>
      <c r="I187" s="181">
        <v>2017</v>
      </c>
      <c r="J187" s="181">
        <v>2018</v>
      </c>
      <c r="K187" s="181">
        <v>2019</v>
      </c>
      <c r="L187" s="181">
        <v>2020</v>
      </c>
      <c r="M187" s="181">
        <v>2021</v>
      </c>
      <c r="N187" s="181">
        <v>2022</v>
      </c>
      <c r="O187" s="181">
        <v>2023</v>
      </c>
      <c r="P187" s="181">
        <v>2024</v>
      </c>
      <c r="Q187" s="181">
        <v>2025</v>
      </c>
      <c r="R187" s="181">
        <v>2026</v>
      </c>
      <c r="S187" s="181">
        <v>2027</v>
      </c>
      <c r="T187" s="181">
        <v>2028</v>
      </c>
      <c r="U187" s="181">
        <v>2029</v>
      </c>
      <c r="V187" s="181">
        <v>2030</v>
      </c>
      <c r="W187" s="181">
        <v>2031</v>
      </c>
      <c r="X187" s="181">
        <v>2032</v>
      </c>
      <c r="Y187" s="181">
        <v>2033</v>
      </c>
      <c r="Z187" s="181">
        <v>2034</v>
      </c>
      <c r="AA187" s="181">
        <v>2035</v>
      </c>
      <c r="AB187" s="181">
        <v>2036</v>
      </c>
      <c r="AC187" s="181">
        <v>2037</v>
      </c>
      <c r="AD187" s="181">
        <v>2038</v>
      </c>
      <c r="AE187" s="181">
        <v>2039</v>
      </c>
      <c r="AF187" s="181">
        <v>2040</v>
      </c>
      <c r="AG187" s="181">
        <v>2041</v>
      </c>
      <c r="AH187" s="181">
        <v>2042</v>
      </c>
      <c r="AI187" s="181">
        <v>2043</v>
      </c>
      <c r="AJ187" s="181">
        <v>2044</v>
      </c>
      <c r="AK187" s="181">
        <v>2045</v>
      </c>
      <c r="AL187" s="181">
        <v>2046</v>
      </c>
      <c r="AM187" s="181">
        <v>2047</v>
      </c>
      <c r="AN187" s="181">
        <v>2048</v>
      </c>
      <c r="AO187" s="181">
        <v>2049</v>
      </c>
      <c r="AP187" s="181">
        <v>2050</v>
      </c>
    </row>
    <row r="188" spans="2:42">
      <c r="B188" t="s">
        <v>227</v>
      </c>
      <c r="C188" t="s">
        <v>219</v>
      </c>
      <c r="F188" s="207">
        <f>+'Raw data 2DS'!J97/'Raw data 2DS'!$J97</f>
        <v>1</v>
      </c>
      <c r="G188" s="207">
        <f>+'Raw data 2DS'!K97/'Raw data 2DS'!$J97</f>
        <v>0.98556213238331658</v>
      </c>
      <c r="H188" s="207">
        <f>+'Raw data 2DS'!L97/'Raw data 2DS'!$J97</f>
        <v>0.97112426476663338</v>
      </c>
      <c r="I188" s="207">
        <f>+'Raw data 2DS'!M97/'Raw data 2DS'!$J97</f>
        <v>0.95668639714994996</v>
      </c>
      <c r="J188" s="207">
        <f>+'Raw data 2DS'!N97/'Raw data 2DS'!$J97</f>
        <v>0.94224852953326654</v>
      </c>
      <c r="K188" s="207">
        <f>+'Raw data 2DS'!O97/'Raw data 2DS'!$J97</f>
        <v>0.92781066191658323</v>
      </c>
      <c r="L188" s="207">
        <f>+'Raw data 2DS'!P97/'Raw data 2DS'!$J97</f>
        <v>0.91337279429989982</v>
      </c>
      <c r="M188" s="207">
        <f>+'Raw data 2DS'!Q97/'Raw data 2DS'!$J97</f>
        <v>0.89893492668321651</v>
      </c>
      <c r="N188" s="207">
        <f>+'Raw data 2DS'!R97/'Raw data 2DS'!$J97</f>
        <v>0.8844970590665332</v>
      </c>
      <c r="O188" s="207">
        <f>+'Raw data 2DS'!S97/'Raw data 2DS'!$J97</f>
        <v>0.87005919144984978</v>
      </c>
      <c r="P188" s="207">
        <f>+'Raw data 2DS'!T97/'Raw data 2DS'!$J97</f>
        <v>0.85562132383316647</v>
      </c>
      <c r="Q188" s="207">
        <f>+'Raw data 2DS'!U97/'Raw data 2DS'!$J97</f>
        <v>0.84118345621648305</v>
      </c>
      <c r="R188" s="207">
        <f>+'Raw data 2DS'!V97/'Raw data 2DS'!$J97</f>
        <v>0.83040405730493949</v>
      </c>
      <c r="S188" s="207">
        <f>+'Raw data 2DS'!W97/'Raw data 2DS'!$J97</f>
        <v>0.81962465839339593</v>
      </c>
      <c r="T188" s="207">
        <f>+'Raw data 2DS'!X97/'Raw data 2DS'!$J97</f>
        <v>0.80884525948185237</v>
      </c>
      <c r="U188" s="207">
        <f>+'Raw data 2DS'!Y97/'Raw data 2DS'!$J97</f>
        <v>0.79806586057030882</v>
      </c>
      <c r="V188" s="207">
        <f>+'Raw data 2DS'!Z97/'Raw data 2DS'!$J97</f>
        <v>0.78728646165876526</v>
      </c>
      <c r="W188" s="207">
        <f>+'Raw data 2DS'!AA97/'Raw data 2DS'!$J97</f>
        <v>0.77703867937087223</v>
      </c>
      <c r="X188" s="207">
        <f>+'Raw data 2DS'!AB97/'Raw data 2DS'!$J97</f>
        <v>0.76679089708297921</v>
      </c>
      <c r="Y188" s="207">
        <f>+'Raw data 2DS'!AC97/'Raw data 2DS'!$J97</f>
        <v>0.75654311479508607</v>
      </c>
      <c r="Z188" s="207">
        <f>+'Raw data 2DS'!AD97/'Raw data 2DS'!$J97</f>
        <v>0.74629533250719304</v>
      </c>
      <c r="AA188" s="207">
        <f>+'Raw data 2DS'!AE97/'Raw data 2DS'!$J97</f>
        <v>0.73604755021930013</v>
      </c>
      <c r="AB188" s="207">
        <f>+'Raw data 2DS'!AF97/'Raw data 2DS'!$J97</f>
        <v>0.72764414238666475</v>
      </c>
      <c r="AC188" s="207">
        <f>+'Raw data 2DS'!AG97/'Raw data 2DS'!$J97</f>
        <v>0.71924073455402937</v>
      </c>
      <c r="AD188" s="207">
        <f>+'Raw data 2DS'!AH97/'Raw data 2DS'!$J97</f>
        <v>0.7108373267213941</v>
      </c>
      <c r="AE188" s="207">
        <f>+'Raw data 2DS'!AI97/'Raw data 2DS'!$J97</f>
        <v>0.70243391888875872</v>
      </c>
      <c r="AF188" s="207">
        <f>+'Raw data 2DS'!AJ97/'Raw data 2DS'!$J97</f>
        <v>0.69403051105612334</v>
      </c>
      <c r="AG188" s="207">
        <f>+'Raw data 2DS'!AK97/'Raw data 2DS'!$J97</f>
        <v>0.6891571222258468</v>
      </c>
      <c r="AH188" s="207">
        <f>+'Raw data 2DS'!AL97/'Raw data 2DS'!$J97</f>
        <v>0.68428373339557025</v>
      </c>
      <c r="AI188" s="207">
        <f>+'Raw data 2DS'!AM97/'Raw data 2DS'!$J97</f>
        <v>0.6794103445652937</v>
      </c>
      <c r="AJ188" s="207">
        <f>+'Raw data 2DS'!AN97/'Raw data 2DS'!$J97</f>
        <v>0.67453695573501704</v>
      </c>
      <c r="AK188" s="207">
        <f>+'Raw data 2DS'!AO97/'Raw data 2DS'!$J97</f>
        <v>0.66966356690474049</v>
      </c>
      <c r="AL188" s="207">
        <f>+'Raw data 2DS'!AP97/'Raw data 2DS'!$J97</f>
        <v>0.66160330890457231</v>
      </c>
      <c r="AM188" s="207">
        <f>+'Raw data 2DS'!AQ97/'Raw data 2DS'!$J97</f>
        <v>0.65354305090440401</v>
      </c>
      <c r="AN188" s="207">
        <f>+'Raw data 2DS'!AR97/'Raw data 2DS'!$J97</f>
        <v>0.64548279290423582</v>
      </c>
      <c r="AO188" s="207">
        <f>+'Raw data 2DS'!AS97/'Raw data 2DS'!$J97</f>
        <v>0.63742253490406753</v>
      </c>
      <c r="AP188" s="207">
        <f>+'Raw data 2DS'!AT97/'Raw data 2DS'!$J97</f>
        <v>0.62936227690389934</v>
      </c>
    </row>
    <row r="189" spans="2:42">
      <c r="B189" t="s">
        <v>227</v>
      </c>
      <c r="C189" t="s">
        <v>220</v>
      </c>
      <c r="F189" s="207">
        <f>+'Raw data 2DS'!J96/'Raw data 2DS'!$J96</f>
        <v>1</v>
      </c>
      <c r="G189" s="207">
        <f>+'Raw data 2DS'!K96/'Raw data 2DS'!$J96</f>
        <v>0.97534079564245824</v>
      </c>
      <c r="H189" s="207">
        <f>+'Raw data 2DS'!L96/'Raw data 2DS'!$J96</f>
        <v>0.95068159128491636</v>
      </c>
      <c r="I189" s="207">
        <f>+'Raw data 2DS'!M96/'Raw data 2DS'!$J96</f>
        <v>0.9260223869273746</v>
      </c>
      <c r="J189" s="207">
        <f>+'Raw data 2DS'!N96/'Raw data 2DS'!$J96</f>
        <v>0.90136318256983283</v>
      </c>
      <c r="K189" s="207">
        <f>+'Raw data 2DS'!O96/'Raw data 2DS'!$J96</f>
        <v>0.87670397821229107</v>
      </c>
      <c r="L189" s="207">
        <f>+'Raw data 2DS'!P96/'Raw data 2DS'!$J96</f>
        <v>0.85204477385474919</v>
      </c>
      <c r="M189" s="207">
        <f>+'Raw data 2DS'!Q96/'Raw data 2DS'!$J96</f>
        <v>0.82738556949720743</v>
      </c>
      <c r="N189" s="207">
        <f>+'Raw data 2DS'!R96/'Raw data 2DS'!$J96</f>
        <v>0.80272636513966555</v>
      </c>
      <c r="O189" s="207">
        <f>+'Raw data 2DS'!S96/'Raw data 2DS'!$J96</f>
        <v>0.77806716078212379</v>
      </c>
      <c r="P189" s="207">
        <f>+'Raw data 2DS'!T96/'Raw data 2DS'!$J96</f>
        <v>0.75340795642458203</v>
      </c>
      <c r="Q189" s="207">
        <f>+'Raw data 2DS'!U96/'Raw data 2DS'!$J96</f>
        <v>0.72874875206704015</v>
      </c>
      <c r="R189" s="207">
        <f>+'Raw data 2DS'!V96/'Raw data 2DS'!$J96</f>
        <v>0.68635648864611254</v>
      </c>
      <c r="S189" s="207">
        <f>+'Raw data 2DS'!W96/'Raw data 2DS'!$J96</f>
        <v>0.64396422522518482</v>
      </c>
      <c r="T189" s="207">
        <f>+'Raw data 2DS'!X96/'Raw data 2DS'!$J96</f>
        <v>0.6015719618042572</v>
      </c>
      <c r="U189" s="207">
        <f>+'Raw data 2DS'!Y96/'Raw data 2DS'!$J96</f>
        <v>0.55917969838332959</v>
      </c>
      <c r="V189" s="207">
        <f>+'Raw data 2DS'!Z96/'Raw data 2DS'!$J96</f>
        <v>0.51678743496240187</v>
      </c>
      <c r="W189" s="207">
        <f>+'Raw data 2DS'!AA96/'Raw data 2DS'!$J96</f>
        <v>0.48079402566310664</v>
      </c>
      <c r="X189" s="207">
        <f>+'Raw data 2DS'!AB96/'Raw data 2DS'!$J96</f>
        <v>0.44480061636381141</v>
      </c>
      <c r="Y189" s="207">
        <f>+'Raw data 2DS'!AC96/'Raw data 2DS'!$J96</f>
        <v>0.40880720706451623</v>
      </c>
      <c r="Z189" s="207">
        <f>+'Raw data 2DS'!AD96/'Raw data 2DS'!$J96</f>
        <v>0.372813797765221</v>
      </c>
      <c r="AA189" s="207">
        <f>+'Raw data 2DS'!AE96/'Raw data 2DS'!$J96</f>
        <v>0.33682038846592577</v>
      </c>
      <c r="AB189" s="207">
        <f>+'Raw data 2DS'!AF96/'Raw data 2DS'!$J96</f>
        <v>0.31644886931688415</v>
      </c>
      <c r="AC189" s="207">
        <f>+'Raw data 2DS'!AG96/'Raw data 2DS'!$J96</f>
        <v>0.29607735016784253</v>
      </c>
      <c r="AD189" s="207">
        <f>+'Raw data 2DS'!AH96/'Raw data 2DS'!$J96</f>
        <v>0.27570583101880092</v>
      </c>
      <c r="AE189" s="207">
        <f>+'Raw data 2DS'!AI96/'Raw data 2DS'!$J96</f>
        <v>0.25533431186975925</v>
      </c>
      <c r="AF189" s="207">
        <f>+'Raw data 2DS'!AJ96/'Raw data 2DS'!$J96</f>
        <v>0.23496279272071763</v>
      </c>
      <c r="AG189" s="207">
        <f>+'Raw data 2DS'!AK96/'Raw data 2DS'!$J96</f>
        <v>0.21754163259291132</v>
      </c>
      <c r="AH189" s="207">
        <f>+'Raw data 2DS'!AL96/'Raw data 2DS'!$J96</f>
        <v>0.200120472465105</v>
      </c>
      <c r="AI189" s="207">
        <f>+'Raw data 2DS'!AM96/'Raw data 2DS'!$J96</f>
        <v>0.18269931233729869</v>
      </c>
      <c r="AJ189" s="207">
        <f>+'Raw data 2DS'!AN96/'Raw data 2DS'!$J96</f>
        <v>0.16527815220949238</v>
      </c>
      <c r="AK189" s="207">
        <f>+'Raw data 2DS'!AO96/'Raw data 2DS'!$J96</f>
        <v>0.14785699208168609</v>
      </c>
      <c r="AL189" s="207">
        <f>+'Raw data 2DS'!AP96/'Raw data 2DS'!$J96</f>
        <v>0.13891656846097722</v>
      </c>
      <c r="AM189" s="207">
        <f>+'Raw data 2DS'!AQ96/'Raw data 2DS'!$J96</f>
        <v>0.12997614484026834</v>
      </c>
      <c r="AN189" s="207">
        <f>+'Raw data 2DS'!AR96/'Raw data 2DS'!$J96</f>
        <v>0.12103572121955948</v>
      </c>
      <c r="AO189" s="207">
        <f>+'Raw data 2DS'!AS96/'Raw data 2DS'!$J96</f>
        <v>0.1120952975988506</v>
      </c>
      <c r="AP189" s="207">
        <f>+'Raw data 2DS'!AT96/'Raw data 2DS'!$J96</f>
        <v>0.10315487397814173</v>
      </c>
    </row>
    <row r="190" spans="2:42">
      <c r="B190" t="s">
        <v>227</v>
      </c>
      <c r="C190" s="158" t="s">
        <v>221</v>
      </c>
      <c r="F190" s="207">
        <f>+'Raw data 2DS'!J98/'Raw data 2DS'!$J98</f>
        <v>1</v>
      </c>
      <c r="G190" s="207">
        <f>+'Raw data 2DS'!K98/'Raw data 2DS'!$J98</f>
        <v>1.0449437065023317</v>
      </c>
      <c r="H190" s="207">
        <f>+'Raw data 2DS'!L98/'Raw data 2DS'!$J98</f>
        <v>1.0416942172122621</v>
      </c>
      <c r="I190" s="207">
        <f>+'Raw data 2DS'!M98/'Raw data 2DS'!$J98</f>
        <v>1.0384447279221924</v>
      </c>
      <c r="J190" s="207">
        <f>+'Raw data 2DS'!N98/'Raw data 2DS'!$J98</f>
        <v>1.0351952386321228</v>
      </c>
      <c r="K190" s="207">
        <f>+'Raw data 2DS'!O98/'Raw data 2DS'!$J98</f>
        <v>1.0319457493420534</v>
      </c>
      <c r="L190" s="207">
        <f>+'Raw data 2DS'!P98/'Raw data 2DS'!$J98</f>
        <v>1.0286962600519838</v>
      </c>
      <c r="M190" s="207">
        <f>+'Raw data 2DS'!Q98/'Raw data 2DS'!$J98</f>
        <v>1.0494863520463411</v>
      </c>
      <c r="N190" s="207">
        <f>+'Raw data 2DS'!R98/'Raw data 2DS'!$J98</f>
        <v>1.0702764440406989</v>
      </c>
      <c r="O190" s="207">
        <f>+'Raw data 2DS'!S98/'Raw data 2DS'!$J98</f>
        <v>1.0910665360350562</v>
      </c>
      <c r="P190" s="207">
        <f>+'Raw data 2DS'!T98/'Raw data 2DS'!$J98</f>
        <v>1.1118566280294138</v>
      </c>
      <c r="Q190" s="207">
        <f>+'Raw data 2DS'!U98/'Raw data 2DS'!$J98</f>
        <v>1.1326467200237713</v>
      </c>
      <c r="R190" s="207">
        <f>+'Raw data 2DS'!V98/'Raw data 2DS'!$J98</f>
        <v>1.18122381023984</v>
      </c>
      <c r="S190" s="207">
        <f>+'Raw data 2DS'!W98/'Raw data 2DS'!$J98</f>
        <v>1.229800900455909</v>
      </c>
      <c r="T190" s="207">
        <f>+'Raw data 2DS'!X98/'Raw data 2DS'!$J98</f>
        <v>1.2783779906719774</v>
      </c>
      <c r="U190" s="207">
        <f>+'Raw data 2DS'!Y98/'Raw data 2DS'!$J98</f>
        <v>1.3269550808880461</v>
      </c>
      <c r="V190" s="207">
        <f>+'Raw data 2DS'!Z98/'Raw data 2DS'!$J98</f>
        <v>1.3755321711041151</v>
      </c>
      <c r="W190" s="207">
        <f>+'Raw data 2DS'!AA98/'Raw data 2DS'!$J98</f>
        <v>1.3704681375751293</v>
      </c>
      <c r="X190" s="207">
        <f>+'Raw data 2DS'!AB98/'Raw data 2DS'!$J98</f>
        <v>1.3654041040461431</v>
      </c>
      <c r="Y190" s="207">
        <f>+'Raw data 2DS'!AC98/'Raw data 2DS'!$J98</f>
        <v>1.3603400705171573</v>
      </c>
      <c r="Z190" s="207">
        <f>+'Raw data 2DS'!AD98/'Raw data 2DS'!$J98</f>
        <v>1.3552760369881713</v>
      </c>
      <c r="AA190" s="207">
        <f>+'Raw data 2DS'!AE98/'Raw data 2DS'!$J98</f>
        <v>1.3502120034591856</v>
      </c>
      <c r="AB190" s="207">
        <f>+'Raw data 2DS'!AF98/'Raw data 2DS'!$J98</f>
        <v>1.3625464355231149</v>
      </c>
      <c r="AC190" s="207">
        <f>+'Raw data 2DS'!AG98/'Raw data 2DS'!$J98</f>
        <v>1.3748808675870441</v>
      </c>
      <c r="AD190" s="207">
        <f>+'Raw data 2DS'!AH98/'Raw data 2DS'!$J98</f>
        <v>1.3872152996509732</v>
      </c>
      <c r="AE190" s="207">
        <f>+'Raw data 2DS'!AI98/'Raw data 2DS'!$J98</f>
        <v>1.3995497317149024</v>
      </c>
      <c r="AF190" s="207">
        <f>+'Raw data 2DS'!AJ98/'Raw data 2DS'!$J98</f>
        <v>1.4118841637788317</v>
      </c>
      <c r="AG190" s="207">
        <f>+'Raw data 2DS'!AK98/'Raw data 2DS'!$J98</f>
        <v>1.4636181141762228</v>
      </c>
      <c r="AH190" s="207">
        <f>+'Raw data 2DS'!AL98/'Raw data 2DS'!$J98</f>
        <v>1.5153520645736138</v>
      </c>
      <c r="AI190" s="207">
        <f>+'Raw data 2DS'!AM98/'Raw data 2DS'!$J98</f>
        <v>1.5670860149710049</v>
      </c>
      <c r="AJ190" s="207">
        <f>+'Raw data 2DS'!AN98/'Raw data 2DS'!$J98</f>
        <v>1.6188199653683959</v>
      </c>
      <c r="AK190" s="207">
        <f>+'Raw data 2DS'!AO98/'Raw data 2DS'!$J98</f>
        <v>1.6705539157657867</v>
      </c>
      <c r="AL190" s="207">
        <f>+'Raw data 2DS'!AP98/'Raw data 2DS'!$J98</f>
        <v>1.6626522127568224</v>
      </c>
      <c r="AM190" s="207">
        <f>+'Raw data 2DS'!AQ98/'Raw data 2DS'!$J98</f>
        <v>1.6547505097478579</v>
      </c>
      <c r="AN190" s="207">
        <f>+'Raw data 2DS'!AR98/'Raw data 2DS'!$J98</f>
        <v>1.6468488067388936</v>
      </c>
      <c r="AO190" s="207">
        <f>+'Raw data 2DS'!AS98/'Raw data 2DS'!$J98</f>
        <v>1.638947103729929</v>
      </c>
      <c r="AP190" s="207">
        <f>+'Raw data 2DS'!AT98/'Raw data 2DS'!$J98</f>
        <v>1.6310454007209647</v>
      </c>
    </row>
    <row r="191" spans="2:42">
      <c r="B191" t="s">
        <v>227</v>
      </c>
      <c r="C191" s="158" t="s">
        <v>222</v>
      </c>
      <c r="F191" s="207">
        <f>+'Raw data 2DS'!J103/'Raw data 2DS'!$J103</f>
        <v>1</v>
      </c>
      <c r="G191" s="207">
        <f>+'Raw data 2DS'!K103/'Raw data 2DS'!$J103</f>
        <v>1.0070783812017374</v>
      </c>
      <c r="H191" s="207">
        <f>+'Raw data 2DS'!L103/'Raw data 2DS'!$J103</f>
        <v>0.98802956785413709</v>
      </c>
      <c r="I191" s="207">
        <f>+'Raw data 2DS'!M103/'Raw data 2DS'!$J103</f>
        <v>0.96886153985158718</v>
      </c>
      <c r="J191" s="207">
        <f>+'Raw data 2DS'!N103/'Raw data 2DS'!$J103</f>
        <v>0.94957317454573176</v>
      </c>
      <c r="K191" s="207">
        <f>+'Raw data 2DS'!O103/'Raw data 2DS'!$J103</f>
        <v>0.93016333514780414</v>
      </c>
      <c r="L191" s="207">
        <f>+'Raw data 2DS'!P103/'Raw data 2DS'!$J103</f>
        <v>0.91063087050529323</v>
      </c>
      <c r="M191" s="207">
        <f>+'Raw data 2DS'!Q103/'Raw data 2DS'!$J103</f>
        <v>0.87056591052592136</v>
      </c>
      <c r="N191" s="207">
        <f>+'Raw data 2DS'!R103/'Raw data 2DS'!$J103</f>
        <v>0.83205747215058778</v>
      </c>
      <c r="O191" s="207">
        <f>+'Raw data 2DS'!S103/'Raw data 2DS'!$J103</f>
        <v>0.79501657759580191</v>
      </c>
      <c r="P191" s="207">
        <f>+'Raw data 2DS'!T103/'Raw data 2DS'!$J103</f>
        <v>0.7593609040954824</v>
      </c>
      <c r="Q191" s="207">
        <f>+'Raw data 2DS'!U103/'Raw data 2DS'!$J103</f>
        <v>0.72501417312611705</v>
      </c>
      <c r="R191" s="207">
        <f>+'Raw data 2DS'!V103/'Raw data 2DS'!$J103</f>
        <v>0.6655157180517316</v>
      </c>
      <c r="S191" s="207">
        <f>+'Raw data 2DS'!W103/'Raw data 2DS'!$J103</f>
        <v>0.61071763653991817</v>
      </c>
      <c r="T191" s="207">
        <f>+'Raw data 2DS'!X103/'Raw data 2DS'!$J103</f>
        <v>0.56008410005107978</v>
      </c>
      <c r="U191" s="207">
        <f>+'Raw data 2DS'!Y103/'Raw data 2DS'!$J103</f>
        <v>0.51315774235887524</v>
      </c>
      <c r="V191" s="207">
        <f>+'Raw data 2DS'!Z103/'Raw data 2DS'!$J103</f>
        <v>0.46954580501831689</v>
      </c>
      <c r="W191" s="207">
        <f>+'Raw data 2DS'!AA103/'Raw data 2DS'!$J103</f>
        <v>0.44929243720905282</v>
      </c>
      <c r="X191" s="207">
        <f>+'Raw data 2DS'!AB103/'Raw data 2DS'!$J103</f>
        <v>0.42888883734269012</v>
      </c>
      <c r="Y191" s="207">
        <f>+'Raw data 2DS'!AC103/'Raw data 2DS'!$J103</f>
        <v>0.40833332764719771</v>
      </c>
      <c r="Z191" s="207">
        <f>+'Raw data 2DS'!AD103/'Raw data 2DS'!$J103</f>
        <v>0.38762420527434288</v>
      </c>
      <c r="AA191" s="207">
        <f>+'Raw data 2DS'!AE103/'Raw data 2DS'!$J103</f>
        <v>0.36675974182944404</v>
      </c>
      <c r="AB191" s="207">
        <f>+'Raw data 2DS'!AF103/'Raw data 2DS'!$J103</f>
        <v>0.35028595483533853</v>
      </c>
      <c r="AC191" s="207">
        <f>+'Raw data 2DS'!AG103/'Raw data 2DS'!$J103</f>
        <v>0.33410774953315231</v>
      </c>
      <c r="AD191" s="207">
        <f>+'Raw data 2DS'!AH103/'Raw data 2DS'!$J103</f>
        <v>0.31821724142442459</v>
      </c>
      <c r="AE191" s="207">
        <f>+'Raw data 2DS'!AI103/'Raw data 2DS'!$J103</f>
        <v>0.30260682395954736</v>
      </c>
      <c r="AF191" s="207">
        <f>+'Raw data 2DS'!AJ103/'Raw data 2DS'!$J103</f>
        <v>0.28726915639675099</v>
      </c>
      <c r="AG191" s="207">
        <f>+'Raw data 2DS'!AK103/'Raw data 2DS'!$J103</f>
        <v>0.26716961642362846</v>
      </c>
      <c r="AH191" s="207">
        <f>+'Raw data 2DS'!AL103/'Raw data 2DS'!$J103</f>
        <v>0.24844246855434685</v>
      </c>
      <c r="AI191" s="207">
        <f>+'Raw data 2DS'!AM103/'Raw data 2DS'!$J103</f>
        <v>0.23095179313099143</v>
      </c>
      <c r="AJ191" s="207">
        <f>+'Raw data 2DS'!AN103/'Raw data 2DS'!$J103</f>
        <v>0.2145790452772566</v>
      </c>
      <c r="AK191" s="207">
        <f>+'Raw data 2DS'!AO103/'Raw data 2DS'!$J103</f>
        <v>0.19922036457495018</v>
      </c>
      <c r="AL191" s="207">
        <f>+'Raw data 2DS'!AP103/'Raw data 2DS'!$J103</f>
        <v>0.19456052127110393</v>
      </c>
      <c r="AM191" s="207">
        <f>+'Raw data 2DS'!AQ103/'Raw data 2DS'!$J103</f>
        <v>0.18985617494684662</v>
      </c>
      <c r="AN191" s="207">
        <f>+'Raw data 2DS'!AR103/'Raw data 2DS'!$J103</f>
        <v>0.18510668501577668</v>
      </c>
      <c r="AO191" s="207">
        <f>+'Raw data 2DS'!AS103/'Raw data 2DS'!$J103</f>
        <v>0.18031139853789452</v>
      </c>
      <c r="AP191" s="207">
        <f>+'Raw data 2DS'!AT103/'Raw data 2DS'!$J103</f>
        <v>0.17546964992036326</v>
      </c>
    </row>
    <row r="193" spans="2:42" ht="18.75">
      <c r="D193" s="181"/>
      <c r="E193" s="181"/>
      <c r="F193" s="181">
        <v>2014</v>
      </c>
      <c r="G193" s="181">
        <v>2015</v>
      </c>
      <c r="H193" s="181">
        <v>2016</v>
      </c>
      <c r="I193" s="181">
        <v>2017</v>
      </c>
      <c r="J193" s="181">
        <v>2018</v>
      </c>
      <c r="K193" s="181">
        <v>2019</v>
      </c>
      <c r="L193" s="181">
        <v>2020</v>
      </c>
      <c r="M193" s="181">
        <v>2021</v>
      </c>
      <c r="N193" s="181">
        <v>2022</v>
      </c>
      <c r="O193" s="181">
        <v>2023</v>
      </c>
      <c r="P193" s="181">
        <v>2024</v>
      </c>
      <c r="Q193" s="181">
        <v>2025</v>
      </c>
      <c r="R193" s="181">
        <v>2026</v>
      </c>
      <c r="S193" s="181">
        <v>2027</v>
      </c>
      <c r="T193" s="181">
        <v>2028</v>
      </c>
      <c r="U193" s="181">
        <v>2029</v>
      </c>
      <c r="V193" s="181">
        <v>2030</v>
      </c>
      <c r="W193" s="181">
        <v>2031</v>
      </c>
      <c r="X193" s="181">
        <v>2032</v>
      </c>
      <c r="Y193" s="181">
        <v>2033</v>
      </c>
      <c r="Z193" s="181">
        <v>2034</v>
      </c>
      <c r="AA193" s="181">
        <v>2035</v>
      </c>
      <c r="AB193" s="181">
        <v>2036</v>
      </c>
      <c r="AC193" s="181">
        <v>2037</v>
      </c>
      <c r="AD193" s="181">
        <v>2038</v>
      </c>
      <c r="AE193" s="181">
        <v>2039</v>
      </c>
      <c r="AF193" s="181">
        <v>2040</v>
      </c>
      <c r="AG193" s="181">
        <v>2041</v>
      </c>
      <c r="AH193" s="181">
        <v>2042</v>
      </c>
      <c r="AI193" s="181">
        <v>2043</v>
      </c>
      <c r="AJ193" s="181">
        <v>2044</v>
      </c>
      <c r="AK193" s="181">
        <v>2045</v>
      </c>
      <c r="AL193" s="181">
        <v>2046</v>
      </c>
      <c r="AM193" s="181">
        <v>2047</v>
      </c>
      <c r="AN193" s="181">
        <v>2048</v>
      </c>
      <c r="AO193" s="181">
        <v>2049</v>
      </c>
      <c r="AP193" s="181">
        <v>2050</v>
      </c>
    </row>
    <row r="194" spans="2:42">
      <c r="B194" t="s">
        <v>85</v>
      </c>
      <c r="C194" t="s">
        <v>228</v>
      </c>
      <c r="F194" s="163">
        <f>+J90/$J90</f>
        <v>1</v>
      </c>
      <c r="G194" s="163">
        <f t="shared" ref="G194:AP194" si="34">+K90/$J90</f>
        <v>0.97160589296379807</v>
      </c>
      <c r="H194" s="163">
        <f t="shared" si="34"/>
        <v>0.94321178592759614</v>
      </c>
      <c r="I194" s="163">
        <f t="shared" si="34"/>
        <v>0.9148176788913942</v>
      </c>
      <c r="J194" s="163">
        <f t="shared" si="34"/>
        <v>0.88642357185519227</v>
      </c>
      <c r="K194" s="163">
        <f t="shared" si="34"/>
        <v>0.85802946481899045</v>
      </c>
      <c r="L194" s="163">
        <f t="shared" si="34"/>
        <v>0.82963535778278852</v>
      </c>
      <c r="M194" s="163">
        <f t="shared" si="34"/>
        <v>0.80124125074658659</v>
      </c>
      <c r="N194" s="163">
        <f t="shared" si="34"/>
        <v>0.77284714371038465</v>
      </c>
      <c r="O194" s="163">
        <f t="shared" si="34"/>
        <v>0.74445303667418272</v>
      </c>
      <c r="P194" s="163">
        <f t="shared" si="34"/>
        <v>0.71605892963798079</v>
      </c>
      <c r="Q194" s="163">
        <f t="shared" si="34"/>
        <v>0.68766482260177886</v>
      </c>
      <c r="R194" s="163">
        <f t="shared" si="34"/>
        <v>0.65410539215992669</v>
      </c>
      <c r="S194" s="163">
        <f t="shared" si="34"/>
        <v>0.62054596171807486</v>
      </c>
      <c r="T194" s="163">
        <f t="shared" si="34"/>
        <v>0.58698653127622269</v>
      </c>
      <c r="U194" s="163">
        <f t="shared" si="34"/>
        <v>0.55342710083437063</v>
      </c>
      <c r="V194" s="163">
        <f t="shared" si="34"/>
        <v>0.51986767039251869</v>
      </c>
      <c r="W194" s="163">
        <f t="shared" si="34"/>
        <v>0.48574584128563481</v>
      </c>
      <c r="X194" s="163">
        <f t="shared" si="34"/>
        <v>0.45162401217875098</v>
      </c>
      <c r="Y194" s="163">
        <f t="shared" si="34"/>
        <v>0.41750218307186709</v>
      </c>
      <c r="Z194" s="163">
        <f t="shared" si="34"/>
        <v>0.38338035396498327</v>
      </c>
      <c r="AA194" s="163">
        <f t="shared" si="34"/>
        <v>0.34925852485809938</v>
      </c>
      <c r="AB194" s="163">
        <f t="shared" si="34"/>
        <v>0.31848062542646155</v>
      </c>
      <c r="AC194" s="163">
        <f t="shared" si="34"/>
        <v>0.28770272599482366</v>
      </c>
      <c r="AD194" s="163">
        <f t="shared" si="34"/>
        <v>0.25692482656318583</v>
      </c>
      <c r="AE194" s="163">
        <f t="shared" si="34"/>
        <v>0.22614692713154794</v>
      </c>
      <c r="AF194" s="163">
        <f t="shared" si="34"/>
        <v>0.19536902769991008</v>
      </c>
      <c r="AG194" s="163">
        <f t="shared" si="34"/>
        <v>0.16838563711935453</v>
      </c>
      <c r="AH194" s="163">
        <f t="shared" si="34"/>
        <v>0.14140224653879896</v>
      </c>
      <c r="AI194" s="163">
        <f t="shared" si="34"/>
        <v>0.11441885595824339</v>
      </c>
      <c r="AJ194" s="163">
        <f t="shared" si="34"/>
        <v>8.7435465377687843E-2</v>
      </c>
      <c r="AK194" s="163">
        <f t="shared" si="34"/>
        <v>6.0452074797132285E-2</v>
      </c>
      <c r="AL194" s="163">
        <f t="shared" si="34"/>
        <v>4.3140828380470807E-2</v>
      </c>
      <c r="AM194" s="163">
        <f t="shared" si="34"/>
        <v>2.5829581963809311E-2</v>
      </c>
      <c r="AN194" s="163">
        <f t="shared" si="34"/>
        <v>8.5183355471478185E-3</v>
      </c>
      <c r="AO194" s="163">
        <f t="shared" si="34"/>
        <v>-8.7929108695136669E-3</v>
      </c>
      <c r="AP194" s="163">
        <f t="shared" si="34"/>
        <v>-2.6104157286175156E-2</v>
      </c>
    </row>
    <row r="195" spans="2:42">
      <c r="B195" t="s">
        <v>85</v>
      </c>
      <c r="C195" t="s">
        <v>229</v>
      </c>
      <c r="F195" s="163">
        <f>+J91/$J91</f>
        <v>1</v>
      </c>
      <c r="G195" s="163">
        <f t="shared" ref="G195:AP195" si="35">+K91/$J91</f>
        <v>1.0173962709108952</v>
      </c>
      <c r="H195" s="163">
        <f t="shared" si="35"/>
        <v>1.0347925418217903</v>
      </c>
      <c r="I195" s="163">
        <f t="shared" si="35"/>
        <v>1.0521888127326855</v>
      </c>
      <c r="J195" s="163">
        <f t="shared" si="35"/>
        <v>1.0695850836435807</v>
      </c>
      <c r="K195" s="163">
        <f t="shared" si="35"/>
        <v>1.086981354554476</v>
      </c>
      <c r="L195" s="163">
        <f t="shared" si="35"/>
        <v>1.1043776254653712</v>
      </c>
      <c r="M195" s="163">
        <f t="shared" si="35"/>
        <v>1.1217738963762665</v>
      </c>
      <c r="N195" s="163">
        <f t="shared" si="35"/>
        <v>1.1391701672871615</v>
      </c>
      <c r="O195" s="163">
        <f t="shared" si="35"/>
        <v>1.1565664381980567</v>
      </c>
      <c r="P195" s="163">
        <f t="shared" si="35"/>
        <v>1.173962709108952</v>
      </c>
      <c r="Q195" s="163">
        <f t="shared" si="35"/>
        <v>1.1913589800198472</v>
      </c>
      <c r="R195" s="163">
        <f t="shared" si="35"/>
        <v>1.2130428958715369</v>
      </c>
      <c r="S195" s="163">
        <f t="shared" si="35"/>
        <v>1.2347268117232268</v>
      </c>
      <c r="T195" s="163">
        <f t="shared" si="35"/>
        <v>1.2564107275749166</v>
      </c>
      <c r="U195" s="163">
        <f t="shared" si="35"/>
        <v>1.2780946434266065</v>
      </c>
      <c r="V195" s="163">
        <f t="shared" si="35"/>
        <v>1.2997785592782962</v>
      </c>
      <c r="W195" s="163">
        <f t="shared" si="35"/>
        <v>1.3238394702098333</v>
      </c>
      <c r="X195" s="163">
        <f t="shared" si="35"/>
        <v>1.3479003811413703</v>
      </c>
      <c r="Y195" s="163">
        <f t="shared" si="35"/>
        <v>1.3719612920729074</v>
      </c>
      <c r="Z195" s="163">
        <f t="shared" si="35"/>
        <v>1.3960222030044445</v>
      </c>
      <c r="AA195" s="163">
        <f t="shared" si="35"/>
        <v>1.4200831139359815</v>
      </c>
      <c r="AB195" s="163">
        <f t="shared" si="35"/>
        <v>1.4468729205078137</v>
      </c>
      <c r="AC195" s="163">
        <f t="shared" si="35"/>
        <v>1.4736627270796456</v>
      </c>
      <c r="AD195" s="163">
        <f t="shared" si="35"/>
        <v>1.500452533651478</v>
      </c>
      <c r="AE195" s="163">
        <f t="shared" si="35"/>
        <v>1.52724234022331</v>
      </c>
      <c r="AF195" s="163">
        <f t="shared" si="35"/>
        <v>1.5540321467951423</v>
      </c>
      <c r="AG195" s="163">
        <f t="shared" si="35"/>
        <v>1.58313481300807</v>
      </c>
      <c r="AH195" s="163">
        <f t="shared" si="35"/>
        <v>1.6122374792209977</v>
      </c>
      <c r="AI195" s="163">
        <f t="shared" si="35"/>
        <v>1.6413401454339256</v>
      </c>
      <c r="AJ195" s="163">
        <f t="shared" si="35"/>
        <v>1.6704428116468533</v>
      </c>
      <c r="AK195" s="163">
        <f t="shared" si="35"/>
        <v>1.6995454778597807</v>
      </c>
      <c r="AL195" s="163">
        <f t="shared" si="35"/>
        <v>1.7317839146296836</v>
      </c>
      <c r="AM195" s="163">
        <f t="shared" si="35"/>
        <v>1.764022351399587</v>
      </c>
      <c r="AN195" s="163">
        <f t="shared" si="35"/>
        <v>1.7962607881694899</v>
      </c>
      <c r="AO195" s="163">
        <f t="shared" si="35"/>
        <v>1.828499224939393</v>
      </c>
      <c r="AP195" s="163">
        <f t="shared" si="35"/>
        <v>1.8607376617092959</v>
      </c>
    </row>
    <row r="196" spans="2:42">
      <c r="B196" t="s">
        <v>85</v>
      </c>
      <c r="C196" t="s">
        <v>230</v>
      </c>
      <c r="F196" s="163">
        <f>+J92/$J92</f>
        <v>1</v>
      </c>
      <c r="G196" s="163">
        <f t="shared" ref="G196:AP196" si="36">+K92/$J92</f>
        <v>0.96156458404641876</v>
      </c>
      <c r="H196" s="163">
        <f t="shared" si="36"/>
        <v>0.92312916809283752</v>
      </c>
      <c r="I196" s="163">
        <f t="shared" si="36"/>
        <v>0.88469375213925627</v>
      </c>
      <c r="J196" s="163">
        <f t="shared" si="36"/>
        <v>0.84625833618567503</v>
      </c>
      <c r="K196" s="163">
        <f t="shared" si="36"/>
        <v>0.80782292023209379</v>
      </c>
      <c r="L196" s="163">
        <f t="shared" si="36"/>
        <v>0.76938750427851255</v>
      </c>
      <c r="M196" s="163">
        <f t="shared" si="36"/>
        <v>0.7309520883249313</v>
      </c>
      <c r="N196" s="163">
        <f t="shared" si="36"/>
        <v>0.69251667237135006</v>
      </c>
      <c r="O196" s="163">
        <f t="shared" si="36"/>
        <v>0.65408125641776882</v>
      </c>
      <c r="P196" s="163">
        <f t="shared" si="36"/>
        <v>0.61564584046418758</v>
      </c>
      <c r="Q196" s="163">
        <f t="shared" si="36"/>
        <v>0.57721042451060622</v>
      </c>
      <c r="R196" s="163">
        <f t="shared" si="36"/>
        <v>0.5417616071818746</v>
      </c>
      <c r="S196" s="163">
        <f t="shared" si="36"/>
        <v>0.5063127898531431</v>
      </c>
      <c r="T196" s="163">
        <f t="shared" si="36"/>
        <v>0.47086397252441159</v>
      </c>
      <c r="U196" s="163">
        <f t="shared" si="36"/>
        <v>0.43541515519568008</v>
      </c>
      <c r="V196" s="163">
        <f t="shared" si="36"/>
        <v>0.39996633786694852</v>
      </c>
      <c r="W196" s="163">
        <f t="shared" si="36"/>
        <v>0.36916153277588143</v>
      </c>
      <c r="X196" s="163">
        <f t="shared" si="36"/>
        <v>0.33835672768481434</v>
      </c>
      <c r="Y196" s="163">
        <f t="shared" si="36"/>
        <v>0.3075519225937472</v>
      </c>
      <c r="Z196" s="163">
        <f t="shared" si="36"/>
        <v>0.27674711750268011</v>
      </c>
      <c r="AA196" s="163">
        <f t="shared" si="36"/>
        <v>0.24594231241161302</v>
      </c>
      <c r="AB196" s="163">
        <f t="shared" si="36"/>
        <v>0.22189734880771667</v>
      </c>
      <c r="AC196" s="163">
        <f t="shared" si="36"/>
        <v>0.19785238520382034</v>
      </c>
      <c r="AD196" s="163">
        <f t="shared" si="36"/>
        <v>0.17380742159992399</v>
      </c>
      <c r="AE196" s="163">
        <f t="shared" si="36"/>
        <v>0.14976245799602764</v>
      </c>
      <c r="AF196" s="163">
        <f t="shared" si="36"/>
        <v>0.12571749439213131</v>
      </c>
      <c r="AG196" s="163">
        <f t="shared" si="36"/>
        <v>0.10768790633099709</v>
      </c>
      <c r="AH196" s="163">
        <f t="shared" si="36"/>
        <v>8.9658318269862855E-2</v>
      </c>
      <c r="AI196" s="163">
        <f t="shared" si="36"/>
        <v>7.1628730208728633E-2</v>
      </c>
      <c r="AJ196" s="163">
        <f t="shared" si="36"/>
        <v>5.3599142147594411E-2</v>
      </c>
      <c r="AK196" s="163">
        <f t="shared" si="36"/>
        <v>3.5569554086460176E-2</v>
      </c>
      <c r="AL196" s="163">
        <f t="shared" si="36"/>
        <v>2.5649857389368667E-2</v>
      </c>
      <c r="AM196" s="163">
        <f t="shared" si="36"/>
        <v>1.5730160692277163E-2</v>
      </c>
      <c r="AN196" s="163">
        <f t="shared" si="36"/>
        <v>5.8104639951856553E-3</v>
      </c>
      <c r="AO196" s="163">
        <f t="shared" si="36"/>
        <v>-4.1092327019058546E-3</v>
      </c>
      <c r="AP196" s="163">
        <f t="shared" si="36"/>
        <v>-1.4028929398997364E-2</v>
      </c>
    </row>
  </sheetData>
  <hyperlinks>
    <hyperlink ref="C171"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election activeCell="B20" sqref="B20"/>
    </sheetView>
  </sheetViews>
  <sheetFormatPr baseColWidth="10" defaultRowHeight="15"/>
  <cols>
    <col min="1" max="1" width="2.85546875" style="162" customWidth="1"/>
    <col min="2" max="2" width="54" style="162" customWidth="1"/>
    <col min="3" max="9" width="22.85546875" style="162" customWidth="1"/>
    <col min="10" max="16384" width="11.42578125" style="162"/>
  </cols>
  <sheetData>
    <row r="1" spans="1:13" s="219" customFormat="1" ht="11.25" customHeight="1">
      <c r="A1" s="218"/>
      <c r="B1" s="218"/>
      <c r="C1" s="218"/>
      <c r="J1" s="218"/>
      <c r="K1" s="218"/>
      <c r="L1" s="218"/>
      <c r="M1" s="218"/>
    </row>
    <row r="2" spans="1:13" s="219" customFormat="1" ht="11.25" customHeight="1">
      <c r="A2" s="218"/>
      <c r="B2" s="218"/>
      <c r="C2" s="218"/>
      <c r="J2" s="218"/>
      <c r="K2" s="218"/>
      <c r="L2" s="218"/>
      <c r="M2" s="218"/>
    </row>
    <row r="3" spans="1:13" s="219" customFormat="1" ht="11.25" customHeight="1"/>
    <row r="4" spans="1:13" s="219" customFormat="1" ht="30">
      <c r="C4" s="243" t="s">
        <v>215</v>
      </c>
      <c r="D4" s="243"/>
      <c r="E4" s="243"/>
      <c r="F4" s="243"/>
      <c r="G4" s="243"/>
      <c r="H4" s="243"/>
      <c r="I4" s="243"/>
      <c r="J4" s="220"/>
      <c r="K4" s="220"/>
      <c r="L4" s="220"/>
      <c r="M4" s="220"/>
    </row>
    <row r="5" spans="1:13" s="219" customFormat="1" ht="11.25" customHeight="1">
      <c r="C5" s="221"/>
      <c r="D5" s="221"/>
      <c r="E5" s="221"/>
      <c r="F5" s="221"/>
      <c r="G5" s="221"/>
      <c r="H5" s="221"/>
      <c r="I5" s="221"/>
      <c r="J5" s="220"/>
      <c r="K5" s="220"/>
      <c r="L5" s="220"/>
      <c r="M5" s="220"/>
    </row>
    <row r="6" spans="1:13" s="219" customFormat="1">
      <c r="A6" s="218"/>
      <c r="C6" s="222" t="s">
        <v>209</v>
      </c>
      <c r="D6" s="223">
        <v>43483</v>
      </c>
      <c r="E6" s="218"/>
      <c r="G6" s="224" t="s">
        <v>9</v>
      </c>
      <c r="H6" s="225" t="s">
        <v>10</v>
      </c>
      <c r="J6" s="218"/>
      <c r="K6" s="218"/>
      <c r="L6" s="218"/>
      <c r="M6" s="218"/>
    </row>
    <row r="7" spans="1:13" s="219" customFormat="1">
      <c r="A7" s="218"/>
      <c r="C7" s="226" t="s">
        <v>44</v>
      </c>
      <c r="D7" s="227" t="s">
        <v>42</v>
      </c>
      <c r="E7" s="227" t="s">
        <v>43</v>
      </c>
      <c r="G7" s="228" t="s">
        <v>40</v>
      </c>
      <c r="H7" s="225" t="s">
        <v>91</v>
      </c>
      <c r="J7" s="218"/>
      <c r="K7" s="218"/>
      <c r="L7" s="218"/>
      <c r="M7" s="218"/>
    </row>
    <row r="8" spans="1:13" s="219" customFormat="1" ht="9.9499999999999993" customHeight="1">
      <c r="A8" s="218"/>
      <c r="B8" s="218"/>
      <c r="C8" s="218"/>
      <c r="D8" s="218"/>
      <c r="E8" s="218"/>
      <c r="F8" s="218"/>
      <c r="G8" s="218"/>
      <c r="H8" s="218"/>
      <c r="I8" s="218"/>
      <c r="J8" s="218"/>
      <c r="K8" s="218"/>
      <c r="L8" s="218"/>
      <c r="M8" s="218"/>
    </row>
    <row r="9" spans="1:13" s="15" customFormat="1" ht="9.9499999999999993" customHeight="1">
      <c r="A9" s="19"/>
      <c r="B9" s="19"/>
      <c r="C9" s="19"/>
      <c r="D9" s="19"/>
      <c r="E9" s="19"/>
      <c r="F9" s="19"/>
      <c r="G9" s="19"/>
      <c r="H9" s="19"/>
      <c r="I9" s="19"/>
    </row>
    <row r="10" spans="1:13" s="219" customFormat="1" ht="9.9499999999999993" customHeight="1">
      <c r="A10" s="218"/>
      <c r="D10" s="218"/>
      <c r="E10" s="218"/>
      <c r="F10" s="218"/>
      <c r="G10" s="218"/>
      <c r="H10" s="218"/>
      <c r="I10" s="218"/>
      <c r="J10" s="229"/>
      <c r="K10" s="229"/>
      <c r="L10" s="229"/>
      <c r="M10" s="229"/>
    </row>
  </sheetData>
  <mergeCells count="1">
    <mergeCell ref="C4:I4"/>
  </mergeCells>
  <hyperlinks>
    <hyperlink ref="D7" location="Terms" display="Terms of use"/>
    <hyperlink ref="E7" location="Disclaimer" display="Disclaimer"/>
    <hyperlink ref="H7"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AV171"/>
  <sheetViews>
    <sheetView topLeftCell="M55" workbookViewId="0">
      <selection activeCell="C50" sqref="C50"/>
    </sheetView>
  </sheetViews>
  <sheetFormatPr baseColWidth="10" defaultRowHeight="15"/>
  <cols>
    <col min="1" max="1" width="3.5703125" customWidth="1"/>
    <col min="2" max="2" width="6.85546875" customWidth="1"/>
    <col min="3" max="3" width="39.5703125" bestFit="1" customWidth="1"/>
    <col min="4" max="12" width="10" customWidth="1"/>
  </cols>
  <sheetData>
    <row r="2" spans="2:12" ht="18.75">
      <c r="B2" s="149" t="s">
        <v>188</v>
      </c>
      <c r="C2" s="150"/>
      <c r="D2" s="150"/>
      <c r="E2" s="150"/>
      <c r="F2" s="150"/>
      <c r="G2" s="150"/>
      <c r="H2" s="150"/>
      <c r="I2" s="150"/>
      <c r="J2" s="150"/>
      <c r="K2" s="150"/>
      <c r="L2" s="150"/>
    </row>
    <row r="3" spans="2:12" ht="18.75">
      <c r="B3" s="151" t="s">
        <v>92</v>
      </c>
      <c r="C3" s="150"/>
      <c r="D3" s="152">
        <v>2014</v>
      </c>
      <c r="E3" s="152">
        <v>2025</v>
      </c>
      <c r="F3" s="152">
        <v>2030</v>
      </c>
      <c r="G3" s="152">
        <v>2035</v>
      </c>
      <c r="H3" s="152">
        <v>2040</v>
      </c>
      <c r="I3" s="152">
        <v>2045</v>
      </c>
      <c r="J3" s="152">
        <v>2050</v>
      </c>
      <c r="K3" s="152">
        <v>2055</v>
      </c>
      <c r="L3" s="152">
        <v>2060</v>
      </c>
    </row>
    <row r="4" spans="2:12">
      <c r="B4" s="153"/>
      <c r="C4" s="153" t="s">
        <v>93</v>
      </c>
      <c r="D4" s="153">
        <v>49944.464394984003</v>
      </c>
      <c r="E4" s="153">
        <v>48979.929720578824</v>
      </c>
      <c r="F4" s="153">
        <v>44705.779326568263</v>
      </c>
      <c r="G4" s="153">
        <v>40535.596486716109</v>
      </c>
      <c r="H4" s="153">
        <v>36489.075792449643</v>
      </c>
      <c r="I4" s="153">
        <v>31737.43185339067</v>
      </c>
      <c r="J4" s="153">
        <v>29230.289195743484</v>
      </c>
      <c r="K4" s="153">
        <v>27942.198145034999</v>
      </c>
      <c r="L4" s="153">
        <v>26453.901337883672</v>
      </c>
    </row>
    <row r="5" spans="2:12">
      <c r="B5" s="153"/>
      <c r="C5" s="153" t="s">
        <v>94</v>
      </c>
      <c r="D5" s="153">
        <v>30535.861972377224</v>
      </c>
      <c r="E5" s="153">
        <v>34529.534768073296</v>
      </c>
      <c r="F5" s="153">
        <v>34474.252996575422</v>
      </c>
      <c r="G5" s="153">
        <v>34621.730266983781</v>
      </c>
      <c r="H5" s="153">
        <v>33859.701477557712</v>
      </c>
      <c r="I5" s="153">
        <v>33843.078997008524</v>
      </c>
      <c r="J5" s="153">
        <v>33493.751513997107</v>
      </c>
      <c r="K5" s="153">
        <v>33088.141442709501</v>
      </c>
      <c r="L5" s="153">
        <v>33047.384085670506</v>
      </c>
    </row>
    <row r="6" spans="2:12">
      <c r="B6" s="153"/>
      <c r="C6" s="153" t="s">
        <v>95</v>
      </c>
      <c r="D6" s="153">
        <v>29691.143997587991</v>
      </c>
      <c r="E6" s="153">
        <v>37809.999368623168</v>
      </c>
      <c r="F6" s="153">
        <v>38163.914985534335</v>
      </c>
      <c r="G6" s="153">
        <v>39244.017263190181</v>
      </c>
      <c r="H6" s="153">
        <v>38688.527255687433</v>
      </c>
      <c r="I6" s="153">
        <v>39048.761620419806</v>
      </c>
      <c r="J6" s="153">
        <v>39114.581441994043</v>
      </c>
      <c r="K6" s="153">
        <v>39267.273026615716</v>
      </c>
      <c r="L6" s="153">
        <v>39389.310499756546</v>
      </c>
    </row>
    <row r="7" spans="2:12">
      <c r="B7" s="153"/>
      <c r="C7" s="154" t="s">
        <v>96</v>
      </c>
      <c r="D7" s="154">
        <v>30132.319380911988</v>
      </c>
      <c r="E7" s="154">
        <v>36715.813214779031</v>
      </c>
      <c r="F7" s="154">
        <v>38027.580614400453</v>
      </c>
      <c r="G7" s="154">
        <v>38920.573318144037</v>
      </c>
      <c r="H7" s="154">
        <v>39971.56889381737</v>
      </c>
      <c r="I7" s="154">
        <v>42054.296409981922</v>
      </c>
      <c r="J7" s="154">
        <v>43576.539341814569</v>
      </c>
      <c r="K7" s="154">
        <v>45456.03704260596</v>
      </c>
      <c r="L7" s="154">
        <v>47640.32493931373</v>
      </c>
    </row>
    <row r="8" spans="2:12">
      <c r="B8" s="153"/>
      <c r="C8" s="153" t="s">
        <v>97</v>
      </c>
      <c r="D8" s="153">
        <v>5164.3282443480011</v>
      </c>
      <c r="E8" s="153">
        <v>6806.1749895003786</v>
      </c>
      <c r="F8" s="153">
        <v>6296.9356637727124</v>
      </c>
      <c r="G8" s="153">
        <v>5985.5955896086552</v>
      </c>
      <c r="H8" s="153">
        <v>5526.6887196755615</v>
      </c>
      <c r="I8" s="153">
        <v>5900.0386340913728</v>
      </c>
      <c r="J8" s="153">
        <v>5746.4399764219434</v>
      </c>
      <c r="K8" s="153">
        <v>5991.4733358468729</v>
      </c>
      <c r="L8" s="153">
        <v>6250.9420472193915</v>
      </c>
    </row>
    <row r="9" spans="2:12">
      <c r="B9" s="153"/>
      <c r="C9" s="153" t="s">
        <v>98</v>
      </c>
      <c r="D9" s="153">
        <v>7904.5588857343782</v>
      </c>
      <c r="E9" s="153">
        <v>8614.6748370436708</v>
      </c>
      <c r="F9" s="153">
        <v>9480.9058166373397</v>
      </c>
      <c r="G9" s="153">
        <v>10360.54398501707</v>
      </c>
      <c r="H9" s="153">
        <v>11470.783564293126</v>
      </c>
      <c r="I9" s="153">
        <v>12874.465861136794</v>
      </c>
      <c r="J9" s="153">
        <v>14456.54653088275</v>
      </c>
      <c r="K9" s="153">
        <v>16199.392410842192</v>
      </c>
      <c r="L9" s="153">
        <v>18086.217255544183</v>
      </c>
    </row>
    <row r="10" spans="2:12">
      <c r="B10" s="153"/>
      <c r="C10" s="153" t="s">
        <v>99</v>
      </c>
      <c r="D10" s="153">
        <v>247.15002343774793</v>
      </c>
      <c r="E10" s="153">
        <v>705.7381340180857</v>
      </c>
      <c r="F10" s="153">
        <v>967.31856351136412</v>
      </c>
      <c r="G10" s="153">
        <v>1217.0153205357644</v>
      </c>
      <c r="H10" s="153">
        <v>1453.7840166846927</v>
      </c>
      <c r="I10" s="153">
        <v>1688.2910633659314</v>
      </c>
      <c r="J10" s="153">
        <v>2056.4572112685205</v>
      </c>
      <c r="K10" s="153">
        <v>2268.8560676940301</v>
      </c>
      <c r="L10" s="153">
        <v>2283.1240722606435</v>
      </c>
    </row>
    <row r="11" spans="2:12">
      <c r="B11" s="153"/>
      <c r="C11" s="153" t="s">
        <v>100</v>
      </c>
      <c r="D11" s="153">
        <v>33.201934504626685</v>
      </c>
      <c r="E11" s="153">
        <v>283.48254095354525</v>
      </c>
      <c r="F11" s="153">
        <v>595.23385642780681</v>
      </c>
      <c r="G11" s="153">
        <v>909.90341856082227</v>
      </c>
      <c r="H11" s="153">
        <v>1183.8833060166844</v>
      </c>
      <c r="I11" s="153">
        <v>1640.3485357365391</v>
      </c>
      <c r="J11" s="153">
        <v>1942.5897497554242</v>
      </c>
      <c r="K11" s="153">
        <v>2232.5952642388233</v>
      </c>
      <c r="L11" s="153">
        <v>2512.8625219079113</v>
      </c>
    </row>
    <row r="12" spans="2:12">
      <c r="B12" s="153"/>
      <c r="C12" s="155" t="s">
        <v>101</v>
      </c>
      <c r="D12" s="155">
        <v>153653.02883388594</v>
      </c>
      <c r="E12" s="155">
        <v>174445.34757357003</v>
      </c>
      <c r="F12" s="155">
        <v>172711.92182342766</v>
      </c>
      <c r="G12" s="155">
        <v>171794.97564875646</v>
      </c>
      <c r="H12" s="155">
        <v>168644.01302618219</v>
      </c>
      <c r="I12" s="155">
        <v>168786.71297513155</v>
      </c>
      <c r="J12" s="155">
        <v>169617.1949618778</v>
      </c>
      <c r="K12" s="155">
        <v>172445.9667355881</v>
      </c>
      <c r="L12" s="155">
        <v>175664.06675955659</v>
      </c>
    </row>
    <row r="14" spans="2:12" ht="18.75">
      <c r="B14" s="151" t="s">
        <v>102</v>
      </c>
      <c r="C14" s="151"/>
      <c r="D14" s="152"/>
      <c r="E14" s="152"/>
      <c r="F14" s="152"/>
      <c r="G14" s="152"/>
      <c r="H14" s="152"/>
      <c r="I14" s="152"/>
      <c r="J14" s="152"/>
      <c r="K14" s="152"/>
      <c r="L14" s="152"/>
    </row>
    <row r="15" spans="2:12">
      <c r="C15" s="153" t="s">
        <v>103</v>
      </c>
      <c r="D15" s="153">
        <v>1275.1759529988908</v>
      </c>
      <c r="E15" s="153">
        <v>1325.7821960991855</v>
      </c>
      <c r="F15" s="153">
        <v>1348.4510428765118</v>
      </c>
      <c r="G15" s="153">
        <v>1343.4452131212745</v>
      </c>
      <c r="H15" s="153">
        <v>1455.2778894377825</v>
      </c>
      <c r="I15" s="153">
        <v>1539.0757871618839</v>
      </c>
      <c r="J15" s="153">
        <v>1615.1165813711275</v>
      </c>
      <c r="K15" s="153">
        <v>1617.9386683474117</v>
      </c>
      <c r="L15" s="153">
        <v>1634.7074385885644</v>
      </c>
    </row>
    <row r="16" spans="2:12">
      <c r="C16" s="153" t="s">
        <v>104</v>
      </c>
      <c r="D16" s="153">
        <v>4220.7515985600003</v>
      </c>
      <c r="E16" s="153">
        <v>6807.511091929312</v>
      </c>
      <c r="F16" s="153">
        <v>7214.8102172503832</v>
      </c>
      <c r="G16" s="153">
        <v>6997.9814536835966</v>
      </c>
      <c r="H16" s="153">
        <v>6298.6220638430186</v>
      </c>
      <c r="I16" s="153">
        <v>6065.7208671753733</v>
      </c>
      <c r="J16" s="153">
        <v>5879.7247924762387</v>
      </c>
      <c r="K16" s="153">
        <v>6186.3076301971805</v>
      </c>
      <c r="L16" s="153">
        <v>6704.0946070950158</v>
      </c>
    </row>
    <row r="17" spans="2:23">
      <c r="C17" s="153" t="s">
        <v>105</v>
      </c>
      <c r="D17" s="153">
        <v>4282.8951823919997</v>
      </c>
      <c r="E17" s="153">
        <v>4812.5292981191196</v>
      </c>
      <c r="F17" s="153">
        <v>4968.8395612945224</v>
      </c>
      <c r="G17" s="153">
        <v>5235.5674969021047</v>
      </c>
      <c r="H17" s="153">
        <v>5536.9334440486846</v>
      </c>
      <c r="I17" s="153">
        <v>5874.4379977694098</v>
      </c>
      <c r="J17" s="153">
        <v>6144.7785328270938</v>
      </c>
      <c r="K17" s="153">
        <v>6409.5012668587888</v>
      </c>
      <c r="L17" s="153">
        <v>6824.6011953722809</v>
      </c>
    </row>
    <row r="18" spans="2:23">
      <c r="C18" s="153" t="s">
        <v>106</v>
      </c>
      <c r="D18" s="153">
        <v>1025.6459611143143</v>
      </c>
      <c r="E18" s="153">
        <v>1107.154174478095</v>
      </c>
      <c r="F18" s="153">
        <v>1139.5920201174895</v>
      </c>
      <c r="G18" s="153">
        <v>1154.9674907245042</v>
      </c>
      <c r="H18" s="153">
        <v>1162.4699560071592</v>
      </c>
      <c r="I18" s="153">
        <v>1156.5532468071901</v>
      </c>
      <c r="J18" s="153">
        <v>1142.8103349845073</v>
      </c>
      <c r="K18" s="153">
        <v>1178.2728713543058</v>
      </c>
      <c r="L18" s="153">
        <v>1210.9548294899321</v>
      </c>
    </row>
    <row r="19" spans="2:23">
      <c r="C19" s="153" t="s">
        <v>107</v>
      </c>
      <c r="D19" s="153">
        <v>3334.8565430762219</v>
      </c>
      <c r="E19" s="153">
        <v>4187.1678646241298</v>
      </c>
      <c r="F19" s="153">
        <v>4076.3827968766504</v>
      </c>
      <c r="G19" s="153">
        <v>3764.7587157323969</v>
      </c>
      <c r="H19" s="153">
        <v>3443.6959147576936</v>
      </c>
      <c r="I19" s="153">
        <v>3166.0726377177521</v>
      </c>
      <c r="J19" s="153">
        <v>2936.5627317082167</v>
      </c>
      <c r="K19" s="153">
        <v>2805.7109308151971</v>
      </c>
      <c r="L19" s="153">
        <v>2703.6582461094699</v>
      </c>
      <c r="P19" s="156"/>
      <c r="Q19" s="156"/>
      <c r="R19" s="156"/>
      <c r="S19" s="156"/>
      <c r="T19" s="156"/>
      <c r="U19" s="156"/>
      <c r="V19" s="156"/>
      <c r="W19" s="156"/>
    </row>
    <row r="20" spans="2:23" ht="18.75">
      <c r="B20" s="151" t="s">
        <v>108</v>
      </c>
      <c r="C20" s="151"/>
      <c r="D20" s="152"/>
      <c r="E20" s="152"/>
      <c r="F20" s="152"/>
      <c r="G20" s="152"/>
      <c r="H20" s="152"/>
      <c r="I20" s="152"/>
      <c r="J20" s="152"/>
      <c r="K20" s="152"/>
      <c r="L20" s="152"/>
      <c r="P20" s="156"/>
      <c r="Q20" s="156"/>
      <c r="R20" s="156"/>
      <c r="S20" s="156"/>
      <c r="T20" s="156"/>
      <c r="U20" s="156"/>
      <c r="V20" s="156"/>
      <c r="W20" s="156"/>
    </row>
    <row r="21" spans="2:23">
      <c r="C21" s="153" t="s">
        <v>103</v>
      </c>
      <c r="D21" s="153">
        <v>10633.37664595434</v>
      </c>
      <c r="E21" s="153">
        <v>11575.859300064802</v>
      </c>
      <c r="F21" s="153">
        <v>11480.782824126247</v>
      </c>
      <c r="G21" s="153">
        <v>11260.379392738196</v>
      </c>
      <c r="H21" s="153">
        <v>11376.533194002364</v>
      </c>
      <c r="I21" s="153">
        <v>11310.119883548083</v>
      </c>
      <c r="J21" s="153">
        <v>11212.969844684241</v>
      </c>
      <c r="K21" s="153">
        <v>11409.21001760131</v>
      </c>
      <c r="L21" s="153">
        <v>11494.954695056316</v>
      </c>
      <c r="P21" s="156"/>
      <c r="Q21" s="156"/>
      <c r="R21" s="156"/>
      <c r="S21" s="156"/>
      <c r="T21" s="156"/>
      <c r="U21" s="156"/>
      <c r="V21" s="156"/>
      <c r="W21" s="156"/>
    </row>
    <row r="22" spans="2:23">
      <c r="C22" s="153" t="s">
        <v>104</v>
      </c>
      <c r="D22" s="153">
        <v>42478.499456171994</v>
      </c>
      <c r="E22" s="153">
        <v>59534.080413756899</v>
      </c>
      <c r="F22" s="153">
        <v>60098.187441758673</v>
      </c>
      <c r="G22" s="153">
        <v>60096.050639120127</v>
      </c>
      <c r="H22" s="153">
        <v>58207.418086891426</v>
      </c>
      <c r="I22" s="153">
        <v>57774.258344886242</v>
      </c>
      <c r="J22" s="153">
        <v>57995.686499347801</v>
      </c>
      <c r="K22" s="153">
        <v>59470.864966988207</v>
      </c>
      <c r="L22" s="153">
        <v>61855.965032757107</v>
      </c>
      <c r="P22" s="156"/>
      <c r="Q22" s="156"/>
      <c r="R22" s="156"/>
      <c r="S22" s="156"/>
      <c r="T22" s="156"/>
      <c r="U22" s="156"/>
      <c r="V22" s="156"/>
      <c r="W22" s="156"/>
    </row>
    <row r="23" spans="2:23">
      <c r="C23" s="153" t="s">
        <v>105</v>
      </c>
      <c r="D23" s="153">
        <v>35615.377028088005</v>
      </c>
      <c r="E23" s="153">
        <v>33639.997996306047</v>
      </c>
      <c r="F23" s="153">
        <v>31605.816738471694</v>
      </c>
      <c r="G23" s="153">
        <v>30625.990590879403</v>
      </c>
      <c r="H23" s="153">
        <v>28606.625140001895</v>
      </c>
      <c r="I23" s="153">
        <v>26642.31885689449</v>
      </c>
      <c r="J23" s="153">
        <v>26433.729555309314</v>
      </c>
      <c r="K23" s="153">
        <v>26834.102640898505</v>
      </c>
      <c r="L23" s="153">
        <v>27147.315119617655</v>
      </c>
      <c r="P23" s="156"/>
      <c r="Q23" s="156"/>
      <c r="R23" s="156"/>
      <c r="S23" s="156"/>
      <c r="T23" s="156"/>
      <c r="U23" s="156"/>
      <c r="V23" s="156"/>
      <c r="W23" s="156"/>
    </row>
    <row r="24" spans="2:23">
      <c r="C24" s="153" t="s">
        <v>106</v>
      </c>
      <c r="D24" s="153">
        <v>5945.5852129350405</v>
      </c>
      <c r="E24" s="153">
        <v>5959.6807657795916</v>
      </c>
      <c r="F24" s="153">
        <v>5927.3889064352679</v>
      </c>
      <c r="G24" s="153">
        <v>5690.8885957931025</v>
      </c>
      <c r="H24" s="153">
        <v>5451.1119159946111</v>
      </c>
      <c r="I24" s="153">
        <v>5191.5786789810882</v>
      </c>
      <c r="J24" s="153">
        <v>4911.0942026060866</v>
      </c>
      <c r="K24" s="153">
        <v>5106.6701900133112</v>
      </c>
      <c r="L24" s="153">
        <v>5285.3154739555021</v>
      </c>
      <c r="P24" s="156"/>
      <c r="Q24" s="156"/>
      <c r="R24" s="156"/>
      <c r="S24" s="156"/>
      <c r="T24" s="156"/>
      <c r="U24" s="156"/>
      <c r="V24" s="156"/>
      <c r="W24" s="156"/>
    </row>
    <row r="25" spans="2:23">
      <c r="C25" s="153" t="s">
        <v>107</v>
      </c>
      <c r="D25" s="153">
        <v>6156.6373906169538</v>
      </c>
      <c r="E25" s="153">
        <v>7723.2478530546714</v>
      </c>
      <c r="F25" s="153">
        <v>7609.5650153725464</v>
      </c>
      <c r="G25" s="153">
        <v>7159.8556712030004</v>
      </c>
      <c r="H25" s="153">
        <v>6640.9194427872199</v>
      </c>
      <c r="I25" s="153">
        <v>6123.6293927696579</v>
      </c>
      <c r="J25" s="153">
        <v>5648.9722187441648</v>
      </c>
      <c r="K25" s="153">
        <v>5401.8426334835149</v>
      </c>
      <c r="L25" s="153">
        <v>5251.7792146855345</v>
      </c>
      <c r="P25" s="156"/>
      <c r="Q25" s="156"/>
      <c r="R25" s="156"/>
      <c r="S25" s="156"/>
      <c r="T25" s="156"/>
      <c r="U25" s="156"/>
      <c r="V25" s="156"/>
      <c r="W25" s="156"/>
    </row>
    <row r="26" spans="2:23">
      <c r="P26" s="156"/>
      <c r="Q26" s="156"/>
      <c r="R26" s="156"/>
      <c r="S26" s="156"/>
      <c r="T26" s="156"/>
      <c r="U26" s="156"/>
      <c r="V26" s="156"/>
      <c r="W26" s="156"/>
    </row>
    <row r="27" spans="2:23" ht="18.75">
      <c r="B27" s="151" t="s">
        <v>109</v>
      </c>
      <c r="C27" s="151"/>
      <c r="D27" s="152"/>
      <c r="E27" s="152"/>
      <c r="F27" s="152"/>
      <c r="G27" s="152"/>
      <c r="H27" s="152"/>
      <c r="I27" s="152"/>
      <c r="J27" s="152"/>
      <c r="K27" s="152"/>
      <c r="L27" s="152"/>
      <c r="W27" s="156"/>
    </row>
    <row r="28" spans="2:23">
      <c r="C28" s="157" t="s">
        <v>110</v>
      </c>
      <c r="D28" s="153">
        <v>13625.004647</v>
      </c>
      <c r="E28" s="153">
        <v>10433.156381113333</v>
      </c>
      <c r="F28" s="153">
        <v>7709.9806262986931</v>
      </c>
      <c r="G28" s="153">
        <v>5112.9084769059173</v>
      </c>
      <c r="H28" s="153">
        <v>3542.3183813584469</v>
      </c>
      <c r="I28" s="153">
        <v>2198.6674374902559</v>
      </c>
      <c r="J28" s="153">
        <v>1552.7616554677954</v>
      </c>
      <c r="K28" s="153">
        <v>798.31353929562283</v>
      </c>
      <c r="L28" s="153">
        <v>128.30710740554093</v>
      </c>
    </row>
    <row r="29" spans="2:23">
      <c r="C29" s="158" t="s">
        <v>111</v>
      </c>
      <c r="D29" s="158">
        <v>23818.899236000001</v>
      </c>
      <c r="E29" s="158">
        <v>28913.009989935708</v>
      </c>
      <c r="F29" s="158">
        <v>31440.719032366433</v>
      </c>
      <c r="G29" s="158">
        <v>33889.297875389719</v>
      </c>
      <c r="H29" s="158">
        <v>36377.763259789434</v>
      </c>
      <c r="I29" s="158">
        <v>39421.059502080105</v>
      </c>
      <c r="J29" s="158">
        <v>42545.889429626019</v>
      </c>
      <c r="K29" s="158">
        <v>46152.103730896866</v>
      </c>
      <c r="L29" s="158">
        <v>50661.676080136771</v>
      </c>
    </row>
    <row r="30" spans="2:23">
      <c r="C30" s="159" t="s">
        <v>112</v>
      </c>
      <c r="D30" s="160">
        <f t="shared" ref="D30:L30" si="0">+D28/D29</f>
        <v>0.57202495010378573</v>
      </c>
      <c r="E30" s="160">
        <f t="shared" si="0"/>
        <v>0.36084642812163092</v>
      </c>
      <c r="F30" s="160">
        <f t="shared" si="0"/>
        <v>0.24522278318004453</v>
      </c>
      <c r="G30" s="160">
        <f t="shared" si="0"/>
        <v>0.15087088837620599</v>
      </c>
      <c r="H30" s="160">
        <f t="shared" si="0"/>
        <v>9.7375925948530978E-2</v>
      </c>
      <c r="I30" s="160">
        <f t="shared" si="0"/>
        <v>5.5773930616305235E-2</v>
      </c>
      <c r="J30" s="160">
        <f t="shared" si="0"/>
        <v>3.6496161586565858E-2</v>
      </c>
      <c r="K30" s="160">
        <f t="shared" si="0"/>
        <v>1.729744637320153E-2</v>
      </c>
      <c r="L30" s="160">
        <f t="shared" si="0"/>
        <v>2.5326265795585683E-3</v>
      </c>
      <c r="M30" t="s">
        <v>113</v>
      </c>
    </row>
    <row r="31" spans="2:23">
      <c r="C31" s="159"/>
      <c r="D31" s="160"/>
      <c r="E31" s="160"/>
      <c r="F31" s="160"/>
      <c r="G31" s="160"/>
      <c r="H31" s="160"/>
      <c r="I31" s="160"/>
      <c r="J31" s="160"/>
      <c r="K31" s="160"/>
      <c r="L31" s="160"/>
    </row>
    <row r="32" spans="2:23" ht="18.75">
      <c r="B32" s="151" t="s">
        <v>114</v>
      </c>
      <c r="C32" s="161"/>
      <c r="D32" s="152"/>
      <c r="E32" s="152"/>
      <c r="F32" s="152"/>
      <c r="G32" s="152"/>
      <c r="H32" s="152"/>
      <c r="I32" s="152"/>
      <c r="J32" s="152"/>
      <c r="K32" s="152"/>
      <c r="L32" s="152"/>
    </row>
    <row r="33" spans="2:20" ht="18">
      <c r="B33" s="153"/>
      <c r="C33" s="162" t="s">
        <v>115</v>
      </c>
      <c r="D33" s="153">
        <v>8346.0621655155301</v>
      </c>
      <c r="E33" s="153">
        <v>8333.2461424134708</v>
      </c>
      <c r="F33" s="153">
        <v>7753.9071706360355</v>
      </c>
      <c r="G33" s="153">
        <v>7309.3313198453579</v>
      </c>
      <c r="H33" s="153">
        <v>6795.7708397090273</v>
      </c>
      <c r="I33" s="153">
        <v>6237.8383750588127</v>
      </c>
      <c r="J33" s="153">
        <v>5800.076424207904</v>
      </c>
      <c r="K33" s="153">
        <v>5478.4930256113112</v>
      </c>
      <c r="L33" s="153">
        <v>5134.8590135526747</v>
      </c>
    </row>
    <row r="34" spans="2:20" ht="18.75">
      <c r="B34" s="151" t="s">
        <v>116</v>
      </c>
      <c r="C34" s="161"/>
      <c r="D34" s="152"/>
      <c r="E34" s="152"/>
      <c r="F34" s="152"/>
      <c r="G34" s="152"/>
      <c r="H34" s="152"/>
      <c r="I34" s="152"/>
      <c r="J34" s="152"/>
      <c r="K34" s="152"/>
      <c r="L34" s="152"/>
    </row>
    <row r="35" spans="2:20">
      <c r="B35" s="153"/>
      <c r="C35" s="153" t="s">
        <v>103</v>
      </c>
      <c r="D35" s="153">
        <v>2230.1009269397146</v>
      </c>
      <c r="E35" s="153">
        <v>2432.8142140696023</v>
      </c>
      <c r="F35" s="153">
        <v>2285.5226954384534</v>
      </c>
      <c r="G35" s="153">
        <v>2192.1244579532131</v>
      </c>
      <c r="H35" s="153">
        <v>2053.8112083917813</v>
      </c>
      <c r="I35" s="153">
        <v>1885.9462235878282</v>
      </c>
      <c r="J35" s="153">
        <v>1694.4923199490763</v>
      </c>
      <c r="K35" s="153">
        <v>1651.4271041034253</v>
      </c>
      <c r="L35" s="153">
        <v>1528.7084232430063</v>
      </c>
      <c r="N35" s="153"/>
    </row>
    <row r="36" spans="2:20">
      <c r="B36" s="153"/>
      <c r="C36" s="153" t="s">
        <v>104</v>
      </c>
      <c r="D36" s="153">
        <v>1061.0697844663939</v>
      </c>
      <c r="E36" s="153">
        <v>1400.362916926375</v>
      </c>
      <c r="F36" s="153">
        <v>1328.4747244477703</v>
      </c>
      <c r="G36" s="153">
        <v>1264.1439488188214</v>
      </c>
      <c r="H36" s="153">
        <v>1195.4020448597719</v>
      </c>
      <c r="I36" s="153">
        <v>1116.4805718974703</v>
      </c>
      <c r="J36" s="153">
        <v>1032.3902823065594</v>
      </c>
      <c r="K36" s="153">
        <v>983.47506664557579</v>
      </c>
      <c r="L36" s="153">
        <v>975.25713331828092</v>
      </c>
      <c r="N36" s="153"/>
    </row>
    <row r="37" spans="2:20">
      <c r="B37" s="153"/>
      <c r="C37" s="153" t="s">
        <v>105</v>
      </c>
      <c r="D37" s="153">
        <v>2338.4101620461929</v>
      </c>
      <c r="E37" s="153">
        <v>2103.348547943121</v>
      </c>
      <c r="F37" s="153">
        <v>1871.720655996312</v>
      </c>
      <c r="G37" s="153">
        <v>1725.4176579066448</v>
      </c>
      <c r="H37" s="153">
        <v>1551.5003180718063</v>
      </c>
      <c r="I37" s="153">
        <v>1357.3706748544105</v>
      </c>
      <c r="J37" s="153">
        <v>1305.6836625592784</v>
      </c>
      <c r="K37" s="153">
        <v>1289.4569567042713</v>
      </c>
      <c r="L37" s="153">
        <v>1241.6994320700312</v>
      </c>
      <c r="N37" s="153"/>
    </row>
    <row r="38" spans="2:20">
      <c r="B38" s="153"/>
      <c r="C38" s="153" t="s">
        <v>106</v>
      </c>
      <c r="D38" s="153">
        <v>194.41575097860326</v>
      </c>
      <c r="E38" s="153">
        <v>161.00121428349229</v>
      </c>
      <c r="F38" s="153">
        <v>145.25446583708185</v>
      </c>
      <c r="G38" s="153">
        <v>120.90817207851677</v>
      </c>
      <c r="H38" s="153">
        <v>93.807977441129083</v>
      </c>
      <c r="I38" s="153">
        <v>52.309222458854435</v>
      </c>
      <c r="J38" s="153">
        <v>56.734147588156027</v>
      </c>
      <c r="K38" s="153">
        <v>58.391557235193801</v>
      </c>
      <c r="L38" s="153">
        <v>62.587180128216154</v>
      </c>
      <c r="N38" s="153"/>
    </row>
    <row r="39" spans="2:20">
      <c r="B39" s="153"/>
      <c r="C39" s="153" t="s">
        <v>107</v>
      </c>
      <c r="D39" s="153">
        <v>260.65242521456832</v>
      </c>
      <c r="E39" s="153">
        <v>333.45594845001966</v>
      </c>
      <c r="F39" s="153">
        <v>342.55469857435787</v>
      </c>
      <c r="G39" s="153">
        <v>342.22949911821217</v>
      </c>
      <c r="H39" s="153">
        <v>331.7595904282224</v>
      </c>
      <c r="I39" s="153">
        <v>311.34570884154414</v>
      </c>
      <c r="J39" s="153">
        <v>287.52790418051336</v>
      </c>
      <c r="K39" s="153">
        <v>262.93924244909687</v>
      </c>
      <c r="L39" s="153">
        <v>239.87014688506713</v>
      </c>
      <c r="N39" s="153"/>
    </row>
    <row r="40" spans="2:20">
      <c r="D40" s="163"/>
      <c r="E40" s="163"/>
      <c r="F40" s="163"/>
      <c r="G40" s="163"/>
      <c r="H40" s="163"/>
      <c r="I40" s="163"/>
      <c r="J40" s="163"/>
      <c r="K40" s="163"/>
      <c r="L40" s="163"/>
      <c r="N40" s="163"/>
      <c r="O40" s="163"/>
      <c r="P40" s="163"/>
      <c r="Q40" s="163"/>
      <c r="R40" s="163"/>
      <c r="S40" s="163"/>
      <c r="T40" s="163"/>
    </row>
    <row r="41" spans="2:20" ht="18.75">
      <c r="B41" s="151" t="s">
        <v>117</v>
      </c>
      <c r="C41" s="151"/>
      <c r="D41" s="152"/>
      <c r="E41" s="152"/>
      <c r="F41" s="152"/>
      <c r="G41" s="152"/>
      <c r="H41" s="152"/>
      <c r="I41" s="152"/>
      <c r="J41" s="152"/>
      <c r="K41" s="152"/>
      <c r="L41" s="152"/>
    </row>
    <row r="42" spans="2:20">
      <c r="C42" s="164" t="s">
        <v>118</v>
      </c>
      <c r="D42" s="165">
        <f t="shared" ref="D42:L42" si="1">+D12-SUM(D21:D25)</f>
        <v>52823.553100119607</v>
      </c>
      <c r="E42" s="165">
        <f t="shared" si="1"/>
        <v>56012.481244608032</v>
      </c>
      <c r="F42" s="165">
        <f t="shared" si="1"/>
        <v>55990.180897263243</v>
      </c>
      <c r="G42" s="165">
        <f t="shared" si="1"/>
        <v>56961.810759022628</v>
      </c>
      <c r="H42" s="165">
        <f t="shared" si="1"/>
        <v>58361.405246504684</v>
      </c>
      <c r="I42" s="165">
        <f t="shared" si="1"/>
        <v>61744.807818051981</v>
      </c>
      <c r="J42" s="165">
        <f t="shared" si="1"/>
        <v>63414.742641186196</v>
      </c>
      <c r="K42" s="165">
        <f t="shared" si="1"/>
        <v>64223.276286603257</v>
      </c>
      <c r="L42" s="165">
        <f t="shared" si="1"/>
        <v>64628.737223484481</v>
      </c>
      <c r="M42" t="s">
        <v>113</v>
      </c>
    </row>
    <row r="43" spans="2:20">
      <c r="C43" s="164" t="s">
        <v>119</v>
      </c>
      <c r="D43" s="165">
        <f t="shared" ref="D43:L43" si="2">+D7-SUM(D15:D19)</f>
        <v>15992.99414277056</v>
      </c>
      <c r="E43" s="165">
        <f t="shared" si="2"/>
        <v>18475.668589529188</v>
      </c>
      <c r="F43" s="165">
        <f t="shared" si="2"/>
        <v>19279.504975984895</v>
      </c>
      <c r="G43" s="165">
        <f t="shared" si="2"/>
        <v>20423.852947980162</v>
      </c>
      <c r="H43" s="165">
        <f t="shared" si="2"/>
        <v>22074.56962572303</v>
      </c>
      <c r="I43" s="165">
        <f t="shared" si="2"/>
        <v>24252.435873350314</v>
      </c>
      <c r="J43" s="165">
        <f t="shared" si="2"/>
        <v>25857.546368447383</v>
      </c>
      <c r="K43" s="165">
        <f t="shared" si="2"/>
        <v>27258.305675033076</v>
      </c>
      <c r="L43" s="165">
        <f t="shared" si="2"/>
        <v>28562.308622658467</v>
      </c>
      <c r="M43" t="s">
        <v>113</v>
      </c>
    </row>
    <row r="44" spans="2:20">
      <c r="C44" s="164" t="s">
        <v>120</v>
      </c>
      <c r="D44" s="165">
        <f>+D43*0.2777777778</f>
        <v>4442.4983733472227</v>
      </c>
      <c r="E44" s="165">
        <f t="shared" ref="E44:L44" si="3">+E43*0.2777777778</f>
        <v>5132.1301641686787</v>
      </c>
      <c r="F44" s="165">
        <f t="shared" si="3"/>
        <v>5355.4180493131271</v>
      </c>
      <c r="G44" s="165">
        <f t="shared" si="3"/>
        <v>5673.2924860039084</v>
      </c>
      <c r="H44" s="165">
        <f t="shared" si="3"/>
        <v>6131.8248965247212</v>
      </c>
      <c r="I44" s="165">
        <f t="shared" si="3"/>
        <v>6736.7877431362531</v>
      </c>
      <c r="J44" s="165">
        <f t="shared" si="3"/>
        <v>7182.6517695877747</v>
      </c>
      <c r="K44" s="165">
        <f t="shared" si="3"/>
        <v>7571.7515770038171</v>
      </c>
      <c r="L44" s="165">
        <f t="shared" si="3"/>
        <v>7933.9746180398479</v>
      </c>
      <c r="M44" t="s">
        <v>113</v>
      </c>
      <c r="O44" s="145"/>
      <c r="P44" s="145"/>
      <c r="Q44" s="145"/>
      <c r="R44" s="145"/>
      <c r="S44" s="145"/>
      <c r="T44" s="145"/>
    </row>
    <row r="45" spans="2:20">
      <c r="C45" s="164" t="s">
        <v>121</v>
      </c>
      <c r="D45" s="165">
        <f t="shared" ref="D45:L45" si="4">+D44*D30</f>
        <v>2541.2199103500943</v>
      </c>
      <c r="E45" s="165">
        <f t="shared" si="4"/>
        <v>1851.910838395547</v>
      </c>
      <c r="F45" s="165">
        <f t="shared" si="4"/>
        <v>1313.2705191452101</v>
      </c>
      <c r="G45" s="165">
        <f t="shared" si="4"/>
        <v>855.93467738146387</v>
      </c>
      <c r="H45" s="165">
        <f t="shared" si="4"/>
        <v>597.09212705334983</v>
      </c>
      <c r="I45" s="165">
        <f t="shared" si="4"/>
        <v>375.73713216245693</v>
      </c>
      <c r="J45" s="165">
        <f t="shared" si="4"/>
        <v>262.13921960290861</v>
      </c>
      <c r="K45" s="165">
        <f t="shared" si="4"/>
        <v>130.97196685442765</v>
      </c>
      <c r="L45" s="165">
        <f t="shared" si="4"/>
        <v>20.093794999190759</v>
      </c>
      <c r="M45" t="s">
        <v>113</v>
      </c>
    </row>
    <row r="46" spans="2:20">
      <c r="C46" s="164" t="s">
        <v>122</v>
      </c>
      <c r="D46" s="166">
        <f t="shared" ref="D46:L46" si="5">+D33-SUM(D35:D39)</f>
        <v>2261.4131158700566</v>
      </c>
      <c r="E46" s="166">
        <f t="shared" si="5"/>
        <v>1902.2633007408604</v>
      </c>
      <c r="F46" s="166">
        <f t="shared" si="5"/>
        <v>1780.3799303420601</v>
      </c>
      <c r="G46" s="166">
        <f t="shared" si="5"/>
        <v>1664.5075839699493</v>
      </c>
      <c r="H46" s="166">
        <f t="shared" si="5"/>
        <v>1569.4897005163157</v>
      </c>
      <c r="I46" s="166">
        <f t="shared" si="5"/>
        <v>1514.3859734187054</v>
      </c>
      <c r="J46" s="166">
        <f t="shared" si="5"/>
        <v>1423.2481076243203</v>
      </c>
      <c r="K46" s="166">
        <f t="shared" si="5"/>
        <v>1232.8030984737479</v>
      </c>
      <c r="L46" s="166">
        <f t="shared" si="5"/>
        <v>1086.7366979080725</v>
      </c>
      <c r="M46" t="s">
        <v>113</v>
      </c>
    </row>
    <row r="48" spans="2:20" ht="18.75">
      <c r="B48" s="167" t="s">
        <v>123</v>
      </c>
      <c r="C48" s="168"/>
      <c r="D48" s="168"/>
      <c r="E48" s="168"/>
      <c r="F48" s="168"/>
      <c r="G48" s="168"/>
      <c r="H48" s="168"/>
      <c r="I48" s="168"/>
      <c r="J48" s="168"/>
      <c r="K48" s="168"/>
      <c r="L48" s="168"/>
    </row>
    <row r="49" spans="2:23" ht="18.75">
      <c r="B49" s="168" t="s">
        <v>124</v>
      </c>
      <c r="C49" s="169"/>
      <c r="D49" s="170" t="s">
        <v>125</v>
      </c>
      <c r="E49" s="170" t="s">
        <v>126</v>
      </c>
      <c r="F49" s="170" t="s">
        <v>127</v>
      </c>
      <c r="G49" s="170" t="s">
        <v>128</v>
      </c>
      <c r="H49" s="170" t="s">
        <v>129</v>
      </c>
      <c r="I49" s="170" t="s">
        <v>130</v>
      </c>
      <c r="J49" s="170" t="s">
        <v>131</v>
      </c>
      <c r="K49" s="170" t="s">
        <v>132</v>
      </c>
      <c r="L49" s="170" t="s">
        <v>133</v>
      </c>
    </row>
    <row r="50" spans="2:23">
      <c r="B50" s="153"/>
      <c r="C50" s="153" t="s">
        <v>134</v>
      </c>
      <c r="D50" s="153">
        <v>62.831709613462252</v>
      </c>
      <c r="E50" s="153">
        <v>80.045823526645364</v>
      </c>
      <c r="F50" s="153">
        <v>78.801220374121115</v>
      </c>
      <c r="G50" s="153">
        <v>86.76413753668001</v>
      </c>
      <c r="H50" s="153">
        <v>105.36989192649648</v>
      </c>
      <c r="I50" s="153">
        <v>103.43029110555352</v>
      </c>
      <c r="J50" s="153">
        <v>108.15456364840401</v>
      </c>
      <c r="K50" s="153">
        <v>127.96944285231328</v>
      </c>
      <c r="L50" s="153">
        <v>124.94297204494009</v>
      </c>
      <c r="M50" s="153"/>
      <c r="N50" s="153"/>
      <c r="O50" s="153"/>
      <c r="P50" s="153"/>
      <c r="Q50" s="153"/>
      <c r="R50" s="153"/>
      <c r="S50" s="153"/>
      <c r="T50" s="153"/>
      <c r="U50" s="153"/>
      <c r="V50" s="153"/>
      <c r="W50" s="153"/>
    </row>
    <row r="51" spans="2:23">
      <c r="D51" s="153"/>
      <c r="E51" s="153"/>
      <c r="F51" s="153"/>
      <c r="G51" s="153"/>
      <c r="H51" s="153"/>
      <c r="I51" s="153"/>
      <c r="J51" s="153"/>
      <c r="K51" s="153"/>
      <c r="L51" s="153"/>
      <c r="O51" s="153"/>
      <c r="P51" s="153"/>
      <c r="Q51" s="153"/>
      <c r="R51" s="153"/>
      <c r="S51" s="153"/>
      <c r="T51" s="153"/>
      <c r="U51" s="153"/>
      <c r="V51" s="153"/>
      <c r="W51" s="153"/>
    </row>
    <row r="52" spans="2:23" ht="30.75">
      <c r="B52" s="171" t="s">
        <v>135</v>
      </c>
      <c r="C52" s="172"/>
      <c r="D52" s="173" t="s">
        <v>136</v>
      </c>
      <c r="E52" s="173" t="s">
        <v>136</v>
      </c>
      <c r="F52" s="173" t="s">
        <v>137</v>
      </c>
      <c r="G52" s="173" t="s">
        <v>137</v>
      </c>
      <c r="H52" s="173" t="s">
        <v>138</v>
      </c>
      <c r="I52" s="173" t="s">
        <v>138</v>
      </c>
      <c r="J52" s="172"/>
      <c r="K52" s="173" t="s">
        <v>139</v>
      </c>
      <c r="L52" s="173" t="s">
        <v>139</v>
      </c>
      <c r="M52" s="173" t="s">
        <v>140</v>
      </c>
      <c r="N52" s="173" t="s">
        <v>140</v>
      </c>
    </row>
    <row r="53" spans="2:23" ht="18.75">
      <c r="B53" s="172" t="s">
        <v>141</v>
      </c>
      <c r="C53" s="174"/>
      <c r="D53" s="175">
        <v>2012</v>
      </c>
      <c r="E53" s="175">
        <v>2015</v>
      </c>
      <c r="F53" s="175">
        <v>2012</v>
      </c>
      <c r="G53" s="175">
        <v>2015</v>
      </c>
      <c r="H53" s="175">
        <v>2012</v>
      </c>
      <c r="I53" s="175">
        <v>2015</v>
      </c>
      <c r="J53" s="172"/>
      <c r="K53" s="175">
        <v>2012</v>
      </c>
      <c r="L53" s="175">
        <v>2015</v>
      </c>
      <c r="M53" s="175">
        <v>2012</v>
      </c>
      <c r="N53" s="175">
        <v>2015</v>
      </c>
    </row>
    <row r="54" spans="2:23">
      <c r="B54" s="153"/>
      <c r="C54" s="153" t="s">
        <v>142</v>
      </c>
      <c r="D54" s="153">
        <v>9.73</v>
      </c>
      <c r="E54" s="153">
        <v>9.9309999999999992</v>
      </c>
      <c r="F54" s="153">
        <v>4133581</v>
      </c>
      <c r="G54" s="153">
        <v>3613728</v>
      </c>
      <c r="H54" s="153">
        <f>+F54/D54/1000</f>
        <v>424.82846865364849</v>
      </c>
      <c r="I54" s="153">
        <f>+G54/E54/1000</f>
        <v>363.88359681804457</v>
      </c>
      <c r="J54" s="172"/>
      <c r="K54" s="153">
        <v>4572338</v>
      </c>
      <c r="L54" s="153">
        <v>7142543</v>
      </c>
      <c r="M54" s="153">
        <f>+K54/D54/1000</f>
        <v>469.92168550873583</v>
      </c>
      <c r="N54" s="153">
        <f>+L54/E54/1000</f>
        <v>719.21689658644652</v>
      </c>
    </row>
    <row r="55" spans="2:23">
      <c r="C55" s="153" t="s">
        <v>143</v>
      </c>
      <c r="D55" s="153">
        <v>1.45</v>
      </c>
      <c r="E55" s="153">
        <v>1.958758</v>
      </c>
      <c r="F55" s="153">
        <v>492107</v>
      </c>
      <c r="G55" s="153">
        <v>545126</v>
      </c>
      <c r="H55" s="153">
        <f t="shared" ref="H55:I65" si="6">+F55/D55/1000</f>
        <v>339.3841379310345</v>
      </c>
      <c r="I55" s="153">
        <f t="shared" si="6"/>
        <v>278.30186271096278</v>
      </c>
      <c r="J55" s="172"/>
      <c r="K55" s="153">
        <v>1159324</v>
      </c>
      <c r="L55" s="153">
        <v>1166227</v>
      </c>
      <c r="M55" s="153">
        <f t="shared" ref="M55:N65" si="7">+K55/D55/1000</f>
        <v>799.53379310344837</v>
      </c>
      <c r="N55" s="153">
        <f t="shared" si="7"/>
        <v>595.39105902822098</v>
      </c>
    </row>
    <row r="56" spans="2:23">
      <c r="C56" s="153" t="s">
        <v>144</v>
      </c>
      <c r="D56" s="153">
        <v>2.0099999999999998</v>
      </c>
      <c r="E56" s="153">
        <v>2.2474850000000002</v>
      </c>
      <c r="F56" s="153">
        <v>484612</v>
      </c>
      <c r="G56" s="153">
        <v>536168</v>
      </c>
      <c r="H56" s="153">
        <f t="shared" si="6"/>
        <v>241.10049751243784</v>
      </c>
      <c r="I56" s="153">
        <f t="shared" si="6"/>
        <v>238.56354992358121</v>
      </c>
      <c r="J56" s="172"/>
      <c r="K56" s="153">
        <v>862214</v>
      </c>
      <c r="L56" s="153">
        <v>1472437</v>
      </c>
      <c r="M56" s="153">
        <f t="shared" si="7"/>
        <v>428.96218905472637</v>
      </c>
      <c r="N56" s="153">
        <f t="shared" si="7"/>
        <v>655.14875516410552</v>
      </c>
    </row>
    <row r="57" spans="2:23">
      <c r="C57" s="153" t="s">
        <v>145</v>
      </c>
      <c r="D57" s="153">
        <v>1.24</v>
      </c>
      <c r="E57" s="153">
        <v>1.506</v>
      </c>
      <c r="F57" s="153">
        <v>150500</v>
      </c>
      <c r="G57" s="153">
        <v>131700</v>
      </c>
      <c r="H57" s="153">
        <f t="shared" si="6"/>
        <v>121.37096774193549</v>
      </c>
      <c r="I57" s="153">
        <f t="shared" si="6"/>
        <v>87.450199203187253</v>
      </c>
      <c r="J57" s="172"/>
      <c r="K57" s="153">
        <v>490100</v>
      </c>
      <c r="L57" s="153">
        <v>643600</v>
      </c>
      <c r="M57" s="153">
        <f t="shared" si="7"/>
        <v>395.24193548387098</v>
      </c>
      <c r="N57" s="153">
        <f t="shared" si="7"/>
        <v>427.35723771580342</v>
      </c>
    </row>
    <row r="58" spans="2:23">
      <c r="C58" s="153" t="s">
        <v>146</v>
      </c>
      <c r="D58" s="153">
        <v>2.81</v>
      </c>
      <c r="E58" s="153">
        <v>2.9729990000000002</v>
      </c>
      <c r="F58" s="153">
        <v>486852</v>
      </c>
      <c r="G58" s="153">
        <v>405892</v>
      </c>
      <c r="H58" s="153">
        <f t="shared" si="6"/>
        <v>173.25693950177936</v>
      </c>
      <c r="I58" s="153">
        <f t="shared" si="6"/>
        <v>136.52611386683949</v>
      </c>
      <c r="J58" s="172"/>
      <c r="K58" s="153">
        <v>306302</v>
      </c>
      <c r="L58" s="153">
        <v>215282</v>
      </c>
      <c r="M58" s="153">
        <f t="shared" si="7"/>
        <v>109.00427046263344</v>
      </c>
      <c r="N58" s="153">
        <f t="shared" si="7"/>
        <v>72.412402425967855</v>
      </c>
    </row>
    <row r="59" spans="2:23">
      <c r="C59" s="153" t="s">
        <v>147</v>
      </c>
      <c r="D59" s="153">
        <v>4.4000000000000004</v>
      </c>
      <c r="E59" s="153">
        <v>4.7</v>
      </c>
      <c r="F59" s="153">
        <v>1069047</v>
      </c>
      <c r="G59" s="153">
        <v>1121480</v>
      </c>
      <c r="H59" s="153">
        <f t="shared" si="6"/>
        <v>242.96522727272728</v>
      </c>
      <c r="I59" s="153">
        <f t="shared" si="6"/>
        <v>238.61276595744681</v>
      </c>
      <c r="J59" s="172"/>
      <c r="K59" s="153">
        <v>2896164</v>
      </c>
      <c r="L59" s="153">
        <v>2962094</v>
      </c>
      <c r="M59" s="153">
        <f t="shared" si="7"/>
        <v>658.21909090909082</v>
      </c>
      <c r="N59" s="153">
        <f t="shared" si="7"/>
        <v>630.23276595744676</v>
      </c>
    </row>
    <row r="60" spans="2:23">
      <c r="C60" s="153" t="s">
        <v>148</v>
      </c>
      <c r="D60" s="153">
        <v>5.08</v>
      </c>
      <c r="E60" s="153">
        <v>5.4</v>
      </c>
      <c r="F60" s="153">
        <v>835766</v>
      </c>
      <c r="G60" s="153">
        <v>928236</v>
      </c>
      <c r="H60" s="153">
        <f t="shared" si="6"/>
        <v>164.52086614173228</v>
      </c>
      <c r="I60" s="153">
        <f t="shared" si="6"/>
        <v>171.89555555555555</v>
      </c>
      <c r="J60" s="172"/>
      <c r="K60" s="153">
        <v>2432889</v>
      </c>
      <c r="L60" s="153">
        <v>3111678</v>
      </c>
      <c r="M60" s="153">
        <f t="shared" si="7"/>
        <v>478.91515748031497</v>
      </c>
      <c r="N60" s="153">
        <f t="shared" si="7"/>
        <v>576.23666666666668</v>
      </c>
    </row>
    <row r="61" spans="2:23">
      <c r="C61" s="153" t="s">
        <v>149</v>
      </c>
      <c r="D61" s="153">
        <v>6.15</v>
      </c>
      <c r="E61" s="153">
        <v>6.6349999999999998</v>
      </c>
      <c r="F61" s="153">
        <v>1698799</v>
      </c>
      <c r="G61" s="153">
        <v>1407403</v>
      </c>
      <c r="H61" s="153">
        <f t="shared" si="6"/>
        <v>276.22747967479677</v>
      </c>
      <c r="I61" s="153">
        <f t="shared" si="6"/>
        <v>212.11801055011304</v>
      </c>
      <c r="J61" s="172"/>
      <c r="K61" s="153">
        <v>3440338</v>
      </c>
      <c r="L61" s="153">
        <v>3313898</v>
      </c>
      <c r="M61" s="153">
        <f t="shared" si="7"/>
        <v>559.40455284552843</v>
      </c>
      <c r="N61" s="153">
        <f t="shared" si="7"/>
        <v>499.45712132629995</v>
      </c>
    </row>
    <row r="62" spans="2:23">
      <c r="C62" s="153" t="s">
        <v>150</v>
      </c>
      <c r="D62" s="153">
        <v>8.6999999999999993</v>
      </c>
      <c r="E62" s="153">
        <v>8.9719999999999995</v>
      </c>
      <c r="F62" s="153">
        <v>2727000</v>
      </c>
      <c r="G62" s="153">
        <v>2727000</v>
      </c>
      <c r="H62" s="153">
        <f t="shared" si="6"/>
        <v>313.44827586206901</v>
      </c>
      <c r="I62" s="153">
        <f t="shared" si="6"/>
        <v>303.94560855996434</v>
      </c>
      <c r="J62" s="172"/>
      <c r="K62" s="153">
        <v>4499000</v>
      </c>
      <c r="L62" s="153">
        <v>5067000</v>
      </c>
      <c r="M62" s="153">
        <f t="shared" si="7"/>
        <v>517.1264367816093</v>
      </c>
      <c r="N62" s="153">
        <f t="shared" si="7"/>
        <v>564.75702184574232</v>
      </c>
    </row>
    <row r="63" spans="2:23">
      <c r="C63" s="153" t="s">
        <v>151</v>
      </c>
      <c r="D63" s="153">
        <v>9.7200000000000006</v>
      </c>
      <c r="E63" s="153">
        <v>9.8000000000000007</v>
      </c>
      <c r="F63" s="153">
        <v>2454755</v>
      </c>
      <c r="G63" s="153">
        <v>2054543</v>
      </c>
      <c r="H63" s="153">
        <f t="shared" si="6"/>
        <v>252.54681069958846</v>
      </c>
      <c r="I63" s="153">
        <f t="shared" si="6"/>
        <v>209.64724489795918</v>
      </c>
      <c r="J63" s="172"/>
      <c r="K63" s="153">
        <v>5531380</v>
      </c>
      <c r="L63" s="153">
        <v>5483117</v>
      </c>
      <c r="M63" s="153">
        <f t="shared" si="7"/>
        <v>569.07201646090527</v>
      </c>
      <c r="N63" s="153">
        <f t="shared" si="7"/>
        <v>559.50173469387755</v>
      </c>
    </row>
    <row r="64" spans="2:23">
      <c r="C64" s="153" t="s">
        <v>152</v>
      </c>
      <c r="D64" s="153">
        <v>2.52</v>
      </c>
      <c r="E64" s="153">
        <v>2.808926</v>
      </c>
      <c r="F64" s="153">
        <v>617132.65220000013</v>
      </c>
      <c r="G64" s="153">
        <v>662478</v>
      </c>
      <c r="H64" s="153">
        <f t="shared" si="6"/>
        <v>244.89390960317465</v>
      </c>
      <c r="I64" s="153">
        <f t="shared" si="6"/>
        <v>235.84743777514964</v>
      </c>
      <c r="J64" s="172"/>
      <c r="K64" s="153">
        <v>559059.74650000001</v>
      </c>
      <c r="L64" s="153">
        <v>648112</v>
      </c>
      <c r="M64" s="153">
        <f t="shared" si="7"/>
        <v>221.84910575396827</v>
      </c>
      <c r="N64" s="153">
        <f t="shared" si="7"/>
        <v>230.73302749876643</v>
      </c>
    </row>
    <row r="65" spans="2:19">
      <c r="C65" s="153" t="s">
        <v>153</v>
      </c>
      <c r="D65" s="153">
        <v>4.7699999999999996</v>
      </c>
      <c r="E65" s="153">
        <v>4.9648370000000002</v>
      </c>
      <c r="F65" s="153">
        <v>877211</v>
      </c>
      <c r="G65" s="153">
        <v>816952</v>
      </c>
      <c r="H65" s="153">
        <f t="shared" si="6"/>
        <v>183.90167714884697</v>
      </c>
      <c r="I65" s="153">
        <f t="shared" si="6"/>
        <v>164.54759743371233</v>
      </c>
      <c r="J65" s="172"/>
      <c r="K65" s="153">
        <v>1533990</v>
      </c>
      <c r="L65" s="153">
        <v>1753243</v>
      </c>
      <c r="M65" s="153">
        <f t="shared" si="7"/>
        <v>321.59119496855351</v>
      </c>
      <c r="N65" s="153">
        <f t="shared" si="7"/>
        <v>353.13203635889755</v>
      </c>
    </row>
    <row r="66" spans="2:19">
      <c r="C66" s="155" t="s">
        <v>154</v>
      </c>
      <c r="D66" s="155">
        <f>+SUM(D54:D65)</f>
        <v>58.58</v>
      </c>
      <c r="E66" s="155">
        <f>+SUM(E54:E65)</f>
        <v>61.897005000000007</v>
      </c>
      <c r="F66" s="155">
        <f>+SUM(F54:F65)</f>
        <v>16027362.6522</v>
      </c>
      <c r="G66" s="155">
        <f>+SUM(G54:G65)</f>
        <v>14950706</v>
      </c>
      <c r="H66" s="155"/>
      <c r="I66" s="155"/>
      <c r="J66" s="172"/>
      <c r="K66" s="155">
        <f>+SUM(K54:K65)</f>
        <v>28283098.7465</v>
      </c>
      <c r="L66" s="155">
        <f>+SUM(L54:L65)</f>
        <v>32979231</v>
      </c>
      <c r="M66" s="155"/>
      <c r="N66" s="155"/>
    </row>
    <row r="67" spans="2:19">
      <c r="C67" s="155" t="s">
        <v>155</v>
      </c>
      <c r="D67" s="155"/>
      <c r="E67" s="155"/>
      <c r="F67" s="155"/>
      <c r="G67" s="155"/>
      <c r="H67" s="155">
        <f>+SUMPRODUCT(H54:H65,D54:D65)/SUM(D54:D65)</f>
        <v>273.59786022874704</v>
      </c>
      <c r="I67" s="155">
        <f>+SUMPRODUCT(I54:I65,E54:E65)/SUM(E54:E65)</f>
        <v>241.54167071573164</v>
      </c>
      <c r="J67" s="155"/>
      <c r="K67" s="155"/>
      <c r="L67" s="155"/>
      <c r="M67" s="155">
        <f>+SUMPRODUCT(M54:M65,D54:D65)/SUM(D54:D65)</f>
        <v>482.81151837657904</v>
      </c>
      <c r="N67" s="155">
        <f>+SUMPRODUCT(N54:N65,E54:E65)/SUM(E54:E65)</f>
        <v>532.80818676121737</v>
      </c>
      <c r="O67" s="158"/>
    </row>
    <row r="68" spans="2:19">
      <c r="C68" s="155" t="s">
        <v>156</v>
      </c>
      <c r="D68" s="176">
        <f>+D66/H98</f>
        <v>0.84024988971279124</v>
      </c>
      <c r="E68" s="176">
        <f>+E66/E50</f>
        <v>0.77326963822660844</v>
      </c>
      <c r="F68" s="153"/>
      <c r="G68" s="153"/>
      <c r="H68" s="153"/>
      <c r="I68" s="153"/>
      <c r="J68" s="153"/>
      <c r="K68" s="153"/>
      <c r="L68" s="153"/>
      <c r="M68" s="153"/>
      <c r="N68" s="153"/>
    </row>
    <row r="69" spans="2:19">
      <c r="L69" s="177"/>
      <c r="M69" s="177"/>
      <c r="N69" s="177"/>
      <c r="O69" s="177"/>
      <c r="P69" s="177"/>
      <c r="Q69" s="177"/>
      <c r="R69" s="177"/>
      <c r="S69" s="178"/>
    </row>
    <row r="70" spans="2:19" s="182" customFormat="1" ht="18.75">
      <c r="B70" s="179" t="s">
        <v>157</v>
      </c>
      <c r="C70" s="180"/>
      <c r="D70" s="180"/>
      <c r="E70" s="180"/>
      <c r="F70" s="180"/>
      <c r="G70" s="180"/>
      <c r="H70" s="181">
        <v>2012</v>
      </c>
      <c r="I70" s="181">
        <v>2013</v>
      </c>
      <c r="J70" s="181">
        <v>2014</v>
      </c>
      <c r="K70" s="181">
        <v>2015</v>
      </c>
      <c r="L70" s="181">
        <v>2020</v>
      </c>
      <c r="M70" s="181">
        <v>2025</v>
      </c>
      <c r="N70" s="181">
        <v>2030</v>
      </c>
      <c r="O70" s="181">
        <v>2035</v>
      </c>
      <c r="P70" s="181">
        <v>2040</v>
      </c>
      <c r="Q70" s="181">
        <v>2045</v>
      </c>
      <c r="R70" s="181">
        <v>2050</v>
      </c>
    </row>
    <row r="71" spans="2:19">
      <c r="B71" s="183" t="s">
        <v>158</v>
      </c>
      <c r="F71" s="184"/>
      <c r="G71" s="184"/>
      <c r="H71" s="185"/>
      <c r="I71" s="185"/>
      <c r="J71" s="186">
        <f>+D45</f>
        <v>2541.2199103500943</v>
      </c>
      <c r="K71" s="115">
        <f>+J71+(M71-J71)/11</f>
        <v>2478.5554492633173</v>
      </c>
      <c r="L71" s="115">
        <f>+P96</f>
        <v>2165.2331438294323</v>
      </c>
      <c r="M71" s="115">
        <f t="shared" ref="M71:R72" si="8">+E45</f>
        <v>1851.910838395547</v>
      </c>
      <c r="N71" s="115">
        <f t="shared" si="8"/>
        <v>1313.2705191452101</v>
      </c>
      <c r="O71" s="115">
        <f t="shared" si="8"/>
        <v>855.93467738146387</v>
      </c>
      <c r="P71" s="115">
        <f t="shared" si="8"/>
        <v>597.09212705334983</v>
      </c>
      <c r="Q71" s="115">
        <f t="shared" si="8"/>
        <v>375.73713216245693</v>
      </c>
      <c r="R71" s="115">
        <f t="shared" si="8"/>
        <v>262.13921960290861</v>
      </c>
    </row>
    <row r="72" spans="2:19">
      <c r="B72" s="183" t="s">
        <v>159</v>
      </c>
      <c r="F72" s="184"/>
      <c r="G72" s="184"/>
      <c r="H72" s="185"/>
      <c r="I72" s="185"/>
      <c r="J72" s="186">
        <f>+J97</f>
        <v>2261.4131158700566</v>
      </c>
      <c r="K72" s="115">
        <f>+J72+(M72-J72)/11</f>
        <v>2228.7631326764931</v>
      </c>
      <c r="L72" s="115">
        <f>+P97</f>
        <v>2065.5132167086767</v>
      </c>
      <c r="M72" s="115">
        <f t="shared" si="8"/>
        <v>1902.2633007408604</v>
      </c>
      <c r="N72" s="115">
        <f t="shared" si="8"/>
        <v>1780.3799303420601</v>
      </c>
      <c r="O72" s="115">
        <f t="shared" si="8"/>
        <v>1664.5075839699493</v>
      </c>
      <c r="P72" s="115">
        <f t="shared" si="8"/>
        <v>1569.4897005163157</v>
      </c>
      <c r="Q72" s="115">
        <f t="shared" si="8"/>
        <v>1514.3859734187054</v>
      </c>
      <c r="R72" s="115">
        <f t="shared" si="8"/>
        <v>1423.2481076243203</v>
      </c>
    </row>
    <row r="73" spans="2:19">
      <c r="B73" s="183" t="s">
        <v>160</v>
      </c>
      <c r="F73" s="184"/>
      <c r="G73" s="184"/>
      <c r="H73" s="187">
        <f>+K66/1000000</f>
        <v>28.283098746500002</v>
      </c>
      <c r="I73" s="184"/>
      <c r="J73" s="184"/>
      <c r="K73" s="187">
        <f>+L66/1000000</f>
        <v>32.979230999999999</v>
      </c>
      <c r="L73" s="184"/>
      <c r="M73" s="184"/>
      <c r="N73" s="184"/>
      <c r="O73" s="184"/>
      <c r="P73" s="184"/>
      <c r="Q73" s="184"/>
      <c r="R73" s="184"/>
    </row>
    <row r="74" spans="2:19">
      <c r="B74" s="183" t="s">
        <v>161</v>
      </c>
      <c r="F74" s="184"/>
      <c r="G74" s="184"/>
      <c r="H74" s="187">
        <f>+F66/1000000</f>
        <v>16.027362652200001</v>
      </c>
      <c r="I74" s="184"/>
      <c r="J74" s="184"/>
      <c r="K74" s="187">
        <f>+G66/1000000</f>
        <v>14.950706</v>
      </c>
      <c r="L74" s="184"/>
      <c r="M74" s="184"/>
      <c r="N74" s="184"/>
      <c r="O74" s="184"/>
      <c r="P74" s="184"/>
      <c r="Q74" s="184"/>
      <c r="R74" s="184"/>
    </row>
    <row r="75" spans="2:19">
      <c r="B75" s="183" t="s">
        <v>162</v>
      </c>
      <c r="C75" s="115"/>
      <c r="F75" s="184"/>
      <c r="G75" s="184"/>
      <c r="H75" s="187">
        <f>+D66</f>
        <v>58.58</v>
      </c>
      <c r="I75" s="184"/>
      <c r="J75" s="184"/>
      <c r="K75" s="187">
        <f>+E66</f>
        <v>61.897005000000007</v>
      </c>
      <c r="L75" s="184"/>
      <c r="M75" s="184"/>
      <c r="N75" s="184"/>
      <c r="O75" s="184"/>
      <c r="P75" s="184"/>
      <c r="Q75" s="184"/>
      <c r="R75" s="184"/>
    </row>
    <row r="76" spans="2:19">
      <c r="B76" s="183" t="s">
        <v>163</v>
      </c>
      <c r="F76" s="184"/>
      <c r="G76" s="184"/>
      <c r="H76" s="187">
        <f>+H73*H98/H75</f>
        <v>33.66034211104455</v>
      </c>
      <c r="I76" s="115">
        <f>+$H76-($H76-$K76)/3*(I$70-$H$70)</f>
        <v>36.656584771043129</v>
      </c>
      <c r="J76" s="115">
        <f>+$H76-($H76-$K76)/3*(J$70-$H$70)</f>
        <v>39.652827431041715</v>
      </c>
      <c r="K76" s="186">
        <f>+K73*K98/K75</f>
        <v>42.649070091040294</v>
      </c>
      <c r="L76" s="115">
        <f>+$K76*L71/$K71</f>
        <v>37.257661571409294</v>
      </c>
      <c r="M76" s="115">
        <f t="shared" ref="M76:R77" si="9">+$K76*M71/$K71</f>
        <v>31.866253051778283</v>
      </c>
      <c r="N76" s="115">
        <f t="shared" si="9"/>
        <v>22.597745971819315</v>
      </c>
      <c r="O76" s="115">
        <f t="shared" si="9"/>
        <v>14.728263618166812</v>
      </c>
      <c r="P76" s="115">
        <f t="shared" si="9"/>
        <v>10.274300696026613</v>
      </c>
      <c r="Q76" s="115">
        <f t="shared" si="9"/>
        <v>6.4653947081014627</v>
      </c>
      <c r="R76" s="115">
        <f t="shared" si="9"/>
        <v>4.5106894638076387</v>
      </c>
    </row>
    <row r="77" spans="2:19">
      <c r="B77" s="183" t="s">
        <v>164</v>
      </c>
      <c r="F77" s="184"/>
      <c r="G77" s="184"/>
      <c r="H77" s="187">
        <f>+H74*H98/H75</f>
        <v>19.074519197709588</v>
      </c>
      <c r="I77" s="115">
        <f>+$H77-($H77-$K77)/3*(I$70-$H$70)</f>
        <v>19.16114678128724</v>
      </c>
      <c r="J77" s="115">
        <f>+$H77-($H77-$K77)/3*(J$70-$H$70)</f>
        <v>19.247774364864892</v>
      </c>
      <c r="K77" s="186">
        <f>+K74*K98/K75</f>
        <v>19.334401948442544</v>
      </c>
      <c r="L77" s="115">
        <f>+$K77*L72/$K72</f>
        <v>17.918217587217569</v>
      </c>
      <c r="M77" s="115">
        <f t="shared" si="9"/>
        <v>16.502033225992594</v>
      </c>
      <c r="N77" s="115">
        <f t="shared" si="9"/>
        <v>15.444701453238727</v>
      </c>
      <c r="O77" s="115">
        <f t="shared" si="9"/>
        <v>14.439514995054102</v>
      </c>
      <c r="P77" s="115">
        <f t="shared" si="9"/>
        <v>13.615239896436218</v>
      </c>
      <c r="Q77" s="115">
        <f t="shared" si="9"/>
        <v>13.137217986910526</v>
      </c>
      <c r="R77" s="115">
        <f t="shared" si="9"/>
        <v>12.346601835666236</v>
      </c>
    </row>
    <row r="78" spans="2:19">
      <c r="B78" s="183" t="s">
        <v>165</v>
      </c>
      <c r="F78" s="184"/>
      <c r="G78" s="184"/>
      <c r="H78" s="115">
        <f>+H76/H98*1000</f>
        <v>482.8115183765791</v>
      </c>
      <c r="I78" s="115">
        <f>+I76/I98*1000</f>
        <v>501.04559327886631</v>
      </c>
      <c r="J78" s="115">
        <f>+J76/J98*1000</f>
        <v>517.64065435965358</v>
      </c>
      <c r="K78" s="115">
        <f>+K76/K98*1000</f>
        <v>532.80818676121714</v>
      </c>
      <c r="L78" s="115">
        <f t="shared" ref="L78:R78" si="10">+L76/F50*1000</f>
        <v>472.8056417720781</v>
      </c>
      <c r="M78" s="115">
        <f t="shared" si="10"/>
        <v>367.27447487513666</v>
      </c>
      <c r="N78" s="115">
        <f t="shared" si="10"/>
        <v>214.46112887334994</v>
      </c>
      <c r="O78" s="115">
        <f t="shared" si="10"/>
        <v>142.39797123974256</v>
      </c>
      <c r="P78" s="115">
        <f t="shared" si="10"/>
        <v>94.996460153331924</v>
      </c>
      <c r="Q78" s="115">
        <f t="shared" si="10"/>
        <v>50.522957387280591</v>
      </c>
      <c r="R78" s="115">
        <f t="shared" si="10"/>
        <v>36.101986290074898</v>
      </c>
    </row>
    <row r="79" spans="2:19">
      <c r="B79" s="183" t="s">
        <v>166</v>
      </c>
      <c r="F79" s="184"/>
      <c r="G79" s="184"/>
      <c r="H79" s="115">
        <f>+H77/H98*1000</f>
        <v>273.59786022874698</v>
      </c>
      <c r="I79" s="115">
        <f>+I77/I98*1000</f>
        <v>261.90678201198671</v>
      </c>
      <c r="J79" s="115">
        <f>+J77/J98*1000</f>
        <v>251.26658457136608</v>
      </c>
      <c r="K79" s="115">
        <f>+K77/K98*1000</f>
        <v>241.54167071573167</v>
      </c>
      <c r="L79" s="115">
        <f t="shared" ref="L79:R79" si="11">+L77/F50*1000</f>
        <v>227.38502655349791</v>
      </c>
      <c r="M79" s="115">
        <f t="shared" si="11"/>
        <v>190.19417116912237</v>
      </c>
      <c r="N79" s="115">
        <f t="shared" si="11"/>
        <v>146.57603961492703</v>
      </c>
      <c r="O79" s="115">
        <f t="shared" si="11"/>
        <v>139.60624920138889</v>
      </c>
      <c r="P79" s="115">
        <f t="shared" si="11"/>
        <v>125.88687372173715</v>
      </c>
      <c r="Q79" s="115">
        <f t="shared" si="11"/>
        <v>102.65902307687549</v>
      </c>
      <c r="R79" s="115">
        <f t="shared" si="11"/>
        <v>98.817897746384247</v>
      </c>
    </row>
    <row r="80" spans="2:19">
      <c r="B80" s="183"/>
    </row>
    <row r="81" spans="2:48" ht="18.75">
      <c r="B81" s="183"/>
      <c r="F81" s="179" t="s">
        <v>167</v>
      </c>
      <c r="G81" s="180"/>
      <c r="H81" s="180"/>
      <c r="I81" s="180"/>
      <c r="J81" s="180"/>
      <c r="K81" s="181">
        <v>2014</v>
      </c>
      <c r="L81" s="181">
        <v>2025</v>
      </c>
      <c r="M81" s="181">
        <v>2030</v>
      </c>
      <c r="N81" s="181">
        <v>2035</v>
      </c>
      <c r="O81" s="181">
        <v>2040</v>
      </c>
      <c r="P81" s="181">
        <v>2045</v>
      </c>
      <c r="Q81" s="181">
        <v>2050</v>
      </c>
    </row>
    <row r="82" spans="2:48">
      <c r="G82" s="183" t="s">
        <v>168</v>
      </c>
      <c r="J82" s="115"/>
      <c r="K82" s="115">
        <f>(J77+J76)/(J72+J71)*D42/J98*1000</f>
        <v>8457.1134506826329</v>
      </c>
      <c r="L82" s="115">
        <f t="shared" ref="L82:Q82" si="12">(K77+K76)/(K72+K71)*E42/G50*1000</f>
        <v>8500.5468589975953</v>
      </c>
      <c r="M82" s="115">
        <f t="shared" si="12"/>
        <v>6929.9102227021313</v>
      </c>
      <c r="N82" s="115">
        <f t="shared" si="12"/>
        <v>7095.4889201370397</v>
      </c>
      <c r="O82" s="115">
        <f t="shared" si="12"/>
        <v>6635.56791753783</v>
      </c>
      <c r="P82" s="115">
        <f t="shared" si="12"/>
        <v>5583.6831509443036</v>
      </c>
      <c r="Q82" s="115">
        <f t="shared" si="12"/>
        <v>5596.4303595473384</v>
      </c>
    </row>
    <row r="83" spans="2:48">
      <c r="G83" s="183" t="s">
        <v>169</v>
      </c>
      <c r="K83" s="115"/>
      <c r="L83" s="188">
        <f t="shared" ref="L83:Q83" si="13">1-L82/$K82</f>
        <v>-5.1357249217764966E-3</v>
      </c>
      <c r="M83" s="188">
        <f t="shared" si="13"/>
        <v>0.18058209067270237</v>
      </c>
      <c r="N83" s="188">
        <f t="shared" si="13"/>
        <v>0.1610034603988536</v>
      </c>
      <c r="O83" s="188">
        <f t="shared" si="13"/>
        <v>0.21538620047692192</v>
      </c>
      <c r="P83" s="188">
        <f t="shared" si="13"/>
        <v>0.33976489927617026</v>
      </c>
      <c r="Q83" s="188">
        <f t="shared" si="13"/>
        <v>0.33825762274767501</v>
      </c>
      <c r="R83" s="189" t="s">
        <v>170</v>
      </c>
    </row>
    <row r="84" spans="2:48">
      <c r="G84" s="183" t="s">
        <v>171</v>
      </c>
      <c r="K84" s="115"/>
      <c r="L84" s="188">
        <f t="shared" ref="L84:Q84" si="14">1-E30/$D30</f>
        <v>0.36917711708875545</v>
      </c>
      <c r="M84" s="188">
        <f t="shared" si="14"/>
        <v>0.57130753975757109</v>
      </c>
      <c r="N84" s="188">
        <f t="shared" si="14"/>
        <v>0.73625121011097039</v>
      </c>
      <c r="O84" s="188">
        <f t="shared" si="14"/>
        <v>0.82976979250491867</v>
      </c>
      <c r="P84" s="188">
        <f t="shared" si="14"/>
        <v>0.90249738126599921</v>
      </c>
      <c r="Q84" s="188">
        <f t="shared" si="14"/>
        <v>0.93619830467194809</v>
      </c>
      <c r="R84" s="189" t="s">
        <v>170</v>
      </c>
      <c r="S84" s="190"/>
      <c r="T84" s="190"/>
    </row>
    <row r="85" spans="2:48">
      <c r="G85" s="183" t="s">
        <v>185</v>
      </c>
      <c r="K85" s="115"/>
      <c r="L85" s="191">
        <f t="shared" ref="L85:Q85" si="15">1-(M79+M78)/($K79+$K78)</f>
        <v>0.28008168315462767</v>
      </c>
      <c r="M85" s="191">
        <f t="shared" si="15"/>
        <v>0.53375445865691984</v>
      </c>
      <c r="N85" s="191">
        <f t="shared" si="15"/>
        <v>0.63581807665080348</v>
      </c>
      <c r="O85" s="191">
        <f t="shared" si="15"/>
        <v>0.71474995217953607</v>
      </c>
      <c r="P85" s="191">
        <f t="shared" si="15"/>
        <v>0.80217988163222964</v>
      </c>
      <c r="Q85" s="191">
        <f t="shared" si="15"/>
        <v>0.82576366130412127</v>
      </c>
      <c r="R85" s="189" t="s">
        <v>170</v>
      </c>
      <c r="S85" s="190"/>
    </row>
    <row r="86" spans="2:48">
      <c r="G86" s="192" t="s">
        <v>187</v>
      </c>
      <c r="H86" s="159"/>
      <c r="I86" s="159"/>
      <c r="J86" s="159"/>
      <c r="K86" s="193"/>
      <c r="L86" s="194">
        <f t="shared" ref="L86:Q86" si="16">+L83*L85/(L84+L83)</f>
        <v>-3.9512607941312129E-3</v>
      </c>
      <c r="M86" s="194">
        <f t="shared" si="16"/>
        <v>0.12819234652163683</v>
      </c>
      <c r="N86" s="194">
        <f t="shared" si="16"/>
        <v>0.11409125401014235</v>
      </c>
      <c r="O86" s="194">
        <f t="shared" si="16"/>
        <v>0.14729598024099616</v>
      </c>
      <c r="P86" s="194">
        <f t="shared" si="16"/>
        <v>0.21940017897443734</v>
      </c>
      <c r="Q86" s="194">
        <f t="shared" si="16"/>
        <v>0.21916870329889415</v>
      </c>
      <c r="R86" s="189" t="s">
        <v>170</v>
      </c>
    </row>
    <row r="87" spans="2:48">
      <c r="G87" s="183" t="s">
        <v>186</v>
      </c>
      <c r="K87" s="115"/>
      <c r="L87" s="188">
        <f t="shared" ref="L87:Q87" si="17">+L84*L85/(L84+L83)</f>
        <v>0.28403294394875889</v>
      </c>
      <c r="M87" s="188">
        <f t="shared" si="17"/>
        <v>0.40556211213528304</v>
      </c>
      <c r="N87" s="188">
        <f t="shared" si="17"/>
        <v>0.52172682264066106</v>
      </c>
      <c r="O87" s="188">
        <f t="shared" si="17"/>
        <v>0.56745397193853997</v>
      </c>
      <c r="P87" s="188">
        <f t="shared" si="17"/>
        <v>0.58277970265779233</v>
      </c>
      <c r="Q87" s="188">
        <f t="shared" si="17"/>
        <v>0.60659495800522722</v>
      </c>
      <c r="R87" s="189" t="s">
        <v>170</v>
      </c>
    </row>
    <row r="89" spans="2:48" ht="18.75">
      <c r="B89" s="195" t="s">
        <v>172</v>
      </c>
      <c r="C89" s="181"/>
      <c r="D89" s="181"/>
      <c r="E89" s="180"/>
      <c r="F89" s="181">
        <v>2010</v>
      </c>
      <c r="G89" s="181">
        <v>2011</v>
      </c>
      <c r="H89" s="181">
        <v>2012</v>
      </c>
      <c r="I89" s="181">
        <v>2013</v>
      </c>
      <c r="J89" s="181">
        <v>2014</v>
      </c>
      <c r="K89" s="181">
        <v>2015</v>
      </c>
      <c r="L89" s="181">
        <v>2016</v>
      </c>
      <c r="M89" s="181">
        <v>2017</v>
      </c>
      <c r="N89" s="181">
        <v>2018</v>
      </c>
      <c r="O89" s="181">
        <v>2019</v>
      </c>
      <c r="P89" s="181">
        <v>2020</v>
      </c>
      <c r="Q89" s="181">
        <v>2021</v>
      </c>
      <c r="R89" s="181">
        <v>2022</v>
      </c>
      <c r="S89" s="181">
        <v>2023</v>
      </c>
      <c r="T89" s="181">
        <v>2024</v>
      </c>
      <c r="U89" s="181">
        <v>2025</v>
      </c>
      <c r="V89" s="181">
        <v>2026</v>
      </c>
      <c r="W89" s="181">
        <v>2027</v>
      </c>
      <c r="X89" s="181">
        <v>2028</v>
      </c>
      <c r="Y89" s="181">
        <v>2029</v>
      </c>
      <c r="Z89" s="181">
        <v>2030</v>
      </c>
      <c r="AA89" s="181">
        <v>2031</v>
      </c>
      <c r="AB89" s="181">
        <v>2032</v>
      </c>
      <c r="AC89" s="181">
        <v>2033</v>
      </c>
      <c r="AD89" s="181">
        <v>2034</v>
      </c>
      <c r="AE89" s="181">
        <v>2035</v>
      </c>
      <c r="AF89" s="181">
        <v>2036</v>
      </c>
      <c r="AG89" s="181">
        <v>2037</v>
      </c>
      <c r="AH89" s="181">
        <v>2038</v>
      </c>
      <c r="AI89" s="181">
        <v>2039</v>
      </c>
      <c r="AJ89" s="181">
        <v>2040</v>
      </c>
      <c r="AK89" s="181">
        <v>2041</v>
      </c>
      <c r="AL89" s="181">
        <v>2042</v>
      </c>
      <c r="AM89" s="181">
        <v>2043</v>
      </c>
      <c r="AN89" s="181">
        <v>2044</v>
      </c>
      <c r="AO89" s="181">
        <v>2045</v>
      </c>
      <c r="AP89" s="181">
        <v>2046</v>
      </c>
      <c r="AQ89" s="181">
        <v>2047</v>
      </c>
      <c r="AR89" s="181">
        <v>2048</v>
      </c>
      <c r="AS89" s="181">
        <v>2049</v>
      </c>
      <c r="AT89" s="181">
        <v>2050</v>
      </c>
      <c r="AU89" s="114"/>
    </row>
    <row r="90" spans="2:48">
      <c r="B90" s="83" t="s">
        <v>173</v>
      </c>
      <c r="C90" s="115"/>
      <c r="D90" s="115"/>
      <c r="F90" s="184"/>
      <c r="G90" s="184"/>
      <c r="H90" s="185"/>
      <c r="I90" s="185"/>
      <c r="J90" s="186">
        <f>+D28</f>
        <v>13625.004647</v>
      </c>
      <c r="K90" s="115">
        <f t="shared" ref="K90:T91" si="18">$J90-(($J90-$U90)/(11)*(K$89-$J$89))</f>
        <v>13334.836622828485</v>
      </c>
      <c r="L90" s="115">
        <f t="shared" si="18"/>
        <v>13044.66859865697</v>
      </c>
      <c r="M90" s="115">
        <f t="shared" si="18"/>
        <v>12754.500574485453</v>
      </c>
      <c r="N90" s="115">
        <f t="shared" si="18"/>
        <v>12464.332550313939</v>
      </c>
      <c r="O90" s="115">
        <f t="shared" si="18"/>
        <v>12174.164526142424</v>
      </c>
      <c r="P90" s="115">
        <f t="shared" si="18"/>
        <v>11883.996501970909</v>
      </c>
      <c r="Q90" s="115">
        <f t="shared" si="18"/>
        <v>11593.828477799394</v>
      </c>
      <c r="R90" s="115">
        <f t="shared" si="18"/>
        <v>11303.660453627879</v>
      </c>
      <c r="S90" s="115">
        <f t="shared" si="18"/>
        <v>11013.492429456363</v>
      </c>
      <c r="T90" s="115">
        <f t="shared" si="18"/>
        <v>10723.324405284848</v>
      </c>
      <c r="U90" s="186">
        <f>+E28</f>
        <v>10433.156381113333</v>
      </c>
      <c r="V90" s="115">
        <f t="shared" ref="V90:Y91" si="19">$U90-(($U90-$Z90)/(5)*(V$89-$U$89))</f>
        <v>9888.5212301504052</v>
      </c>
      <c r="W90" s="115">
        <f t="shared" si="19"/>
        <v>9343.8860791874777</v>
      </c>
      <c r="X90" s="115">
        <f t="shared" si="19"/>
        <v>8799.2509282245483</v>
      </c>
      <c r="Y90" s="115">
        <f t="shared" si="19"/>
        <v>8254.6157772616207</v>
      </c>
      <c r="Z90" s="186">
        <f>+F28</f>
        <v>7709.9806262986931</v>
      </c>
      <c r="AA90" s="115">
        <f t="shared" ref="AA90:AD100" si="20">$Z90-(($Z90-$AE90)/(5)*(AA$89-$Z$89))</f>
        <v>7190.5661964201381</v>
      </c>
      <c r="AB90" s="115">
        <f t="shared" si="20"/>
        <v>6671.1517665415831</v>
      </c>
      <c r="AC90" s="115">
        <f t="shared" si="20"/>
        <v>6151.7373366630272</v>
      </c>
      <c r="AD90" s="115">
        <f t="shared" si="20"/>
        <v>5632.3229067844723</v>
      </c>
      <c r="AE90" s="186">
        <f>+G28</f>
        <v>5112.9084769059173</v>
      </c>
      <c r="AF90" s="115">
        <f t="shared" ref="AF90:AI100" si="21">$AE90-(($AE90-$AJ90)/(5)*(AF$89-$AE$89))</f>
        <v>4798.7904577964237</v>
      </c>
      <c r="AG90" s="115">
        <f t="shared" si="21"/>
        <v>4484.6724386869291</v>
      </c>
      <c r="AH90" s="115">
        <f t="shared" si="21"/>
        <v>4170.5544195774346</v>
      </c>
      <c r="AI90" s="115">
        <f t="shared" si="21"/>
        <v>3856.436400467941</v>
      </c>
      <c r="AJ90" s="186">
        <f>+H28</f>
        <v>3542.3183813584469</v>
      </c>
      <c r="AK90" s="115">
        <f t="shared" ref="AK90:AN100" si="22">$AJ90-(($AJ90-$AO90)/(5)*(AK$89-$AJ$89))</f>
        <v>3273.5881925848089</v>
      </c>
      <c r="AL90" s="115">
        <f t="shared" si="22"/>
        <v>3004.8580038111704</v>
      </c>
      <c r="AM90" s="115">
        <f t="shared" si="22"/>
        <v>2736.1278150375324</v>
      </c>
      <c r="AN90" s="115">
        <f t="shared" si="22"/>
        <v>2467.3976262638944</v>
      </c>
      <c r="AO90" s="186">
        <f>+I28</f>
        <v>2198.6674374902559</v>
      </c>
      <c r="AP90" s="115">
        <f t="shared" ref="AP90:AS100" si="23">$AO90-(($AO90-$AT90)/(5)*(AP$89-$AO$89))</f>
        <v>2069.4862810857639</v>
      </c>
      <c r="AQ90" s="115">
        <f t="shared" si="23"/>
        <v>1940.3051246812718</v>
      </c>
      <c r="AR90" s="115">
        <f t="shared" si="23"/>
        <v>1811.1239682767796</v>
      </c>
      <c r="AS90" s="115">
        <f t="shared" si="23"/>
        <v>1681.9428118722876</v>
      </c>
      <c r="AT90" s="186">
        <f>+J28</f>
        <v>1552.7616554677954</v>
      </c>
      <c r="AU90" s="115"/>
    </row>
    <row r="91" spans="2:48">
      <c r="B91" s="83" t="s">
        <v>174</v>
      </c>
      <c r="C91" s="115"/>
      <c r="D91" s="115"/>
      <c r="F91" s="184"/>
      <c r="G91" s="184"/>
      <c r="H91" s="185"/>
      <c r="I91" s="185"/>
      <c r="J91" s="186">
        <f>+D29</f>
        <v>23818.899236000001</v>
      </c>
      <c r="K91" s="115">
        <f t="shared" si="18"/>
        <v>24282.000213630519</v>
      </c>
      <c r="L91" s="115">
        <f t="shared" si="18"/>
        <v>24745.101191261037</v>
      </c>
      <c r="M91" s="115">
        <f t="shared" si="18"/>
        <v>25208.202168891559</v>
      </c>
      <c r="N91" s="115">
        <f t="shared" si="18"/>
        <v>25671.303146522077</v>
      </c>
      <c r="O91" s="115">
        <f t="shared" si="18"/>
        <v>26134.404124152596</v>
      </c>
      <c r="P91" s="115">
        <f t="shared" si="18"/>
        <v>26597.505101783114</v>
      </c>
      <c r="Q91" s="115">
        <f t="shared" si="18"/>
        <v>27060.606079413632</v>
      </c>
      <c r="R91" s="115">
        <f t="shared" si="18"/>
        <v>27523.70705704415</v>
      </c>
      <c r="S91" s="115">
        <f t="shared" si="18"/>
        <v>27986.808034674672</v>
      </c>
      <c r="T91" s="115">
        <f t="shared" si="18"/>
        <v>28449.90901230519</v>
      </c>
      <c r="U91" s="186">
        <f>+E29</f>
        <v>28913.009989935708</v>
      </c>
      <c r="V91" s="115">
        <f t="shared" si="19"/>
        <v>29418.551798421853</v>
      </c>
      <c r="W91" s="115">
        <f t="shared" si="19"/>
        <v>29924.093606907998</v>
      </c>
      <c r="X91" s="115">
        <f t="shared" si="19"/>
        <v>30429.635415394143</v>
      </c>
      <c r="Y91" s="115">
        <f t="shared" si="19"/>
        <v>30935.177223880288</v>
      </c>
      <c r="Z91" s="186">
        <f>+F29</f>
        <v>31440.719032366433</v>
      </c>
      <c r="AA91" s="115">
        <f t="shared" si="20"/>
        <v>31930.434800971088</v>
      </c>
      <c r="AB91" s="115">
        <f t="shared" si="20"/>
        <v>32420.150569575748</v>
      </c>
      <c r="AC91" s="115">
        <f t="shared" si="20"/>
        <v>32909.866338180407</v>
      </c>
      <c r="AD91" s="115">
        <f t="shared" si="20"/>
        <v>33399.582106785063</v>
      </c>
      <c r="AE91" s="186">
        <f>+G29</f>
        <v>33889.297875389719</v>
      </c>
      <c r="AF91" s="115">
        <f t="shared" si="21"/>
        <v>34386.990952269662</v>
      </c>
      <c r="AG91" s="115">
        <f t="shared" si="21"/>
        <v>34884.684029149605</v>
      </c>
      <c r="AH91" s="115">
        <f t="shared" si="21"/>
        <v>35382.377106029548</v>
      </c>
      <c r="AI91" s="115">
        <f t="shared" si="21"/>
        <v>35880.070182909491</v>
      </c>
      <c r="AJ91" s="186">
        <f>+H29</f>
        <v>36377.763259789434</v>
      </c>
      <c r="AK91" s="115">
        <f t="shared" si="22"/>
        <v>36986.422508247568</v>
      </c>
      <c r="AL91" s="115">
        <f t="shared" si="22"/>
        <v>37595.081756705702</v>
      </c>
      <c r="AM91" s="115">
        <f t="shared" si="22"/>
        <v>38203.741005163836</v>
      </c>
      <c r="AN91" s="115">
        <f t="shared" si="22"/>
        <v>38812.40025362197</v>
      </c>
      <c r="AO91" s="186">
        <f>+I29</f>
        <v>39421.059502080105</v>
      </c>
      <c r="AP91" s="115">
        <f t="shared" si="23"/>
        <v>40046.025487589286</v>
      </c>
      <c r="AQ91" s="115">
        <f t="shared" si="23"/>
        <v>40670.991473098467</v>
      </c>
      <c r="AR91" s="115">
        <f t="shared" si="23"/>
        <v>41295.957458607656</v>
      </c>
      <c r="AS91" s="115">
        <f t="shared" si="23"/>
        <v>41920.923444116837</v>
      </c>
      <c r="AT91" s="186">
        <f>+J29</f>
        <v>42545.889429626019</v>
      </c>
      <c r="AU91" s="115"/>
    </row>
    <row r="92" spans="2:48">
      <c r="B92" s="83" t="str">
        <f>+C30</f>
        <v>Power sector intensity (tCO2/MWh)</v>
      </c>
      <c r="C92" s="115"/>
      <c r="D92" s="115"/>
      <c r="F92" s="184"/>
      <c r="G92" s="184"/>
      <c r="H92" s="185"/>
      <c r="I92" s="185"/>
      <c r="J92" s="186">
        <f>+D30</f>
        <v>0.57202495010378573</v>
      </c>
      <c r="K92" s="115">
        <f t="shared" ref="K92:K97" si="24">$J92-(($J92-$U92)/(11)*(K$89-$J$89))</f>
        <v>0.55282690265086254</v>
      </c>
      <c r="L92" s="115">
        <f t="shared" ref="L92:T92" si="25">$J92-(($J92-$U92)/(11)*(L$89-$J$89))</f>
        <v>0.53362885519793946</v>
      </c>
      <c r="M92" s="115">
        <f t="shared" si="25"/>
        <v>0.51443080774501626</v>
      </c>
      <c r="N92" s="115">
        <f t="shared" si="25"/>
        <v>0.49523276029209307</v>
      </c>
      <c r="O92" s="115">
        <f t="shared" si="25"/>
        <v>0.47603471283916993</v>
      </c>
      <c r="P92" s="115">
        <f t="shared" si="25"/>
        <v>0.45683666538624679</v>
      </c>
      <c r="Q92" s="115">
        <f t="shared" si="25"/>
        <v>0.43763861793332359</v>
      </c>
      <c r="R92" s="115">
        <f t="shared" si="25"/>
        <v>0.4184405704804004</v>
      </c>
      <c r="S92" s="115">
        <f t="shared" si="25"/>
        <v>0.39924252302747726</v>
      </c>
      <c r="T92" s="115">
        <f t="shared" si="25"/>
        <v>0.38004447557455412</v>
      </c>
      <c r="U92" s="186">
        <f>+E30</f>
        <v>0.36084642812163092</v>
      </c>
      <c r="V92" s="115">
        <f t="shared" ref="V92:V100" si="26">$U92-(($U92-$Z92)/(5)*(V$89-$U$89))</f>
        <v>0.33772169913331362</v>
      </c>
      <c r="W92" s="115">
        <f>$U92-(($U92-$Z92)/(5)*(W$89-$U$89))</f>
        <v>0.31459697014499638</v>
      </c>
      <c r="X92" s="115">
        <f>$U92-(($U92-$Z92)/(5)*(X$89-$U$89))</f>
        <v>0.29147224115667908</v>
      </c>
      <c r="Y92" s="115">
        <f>$U92-(($U92-$Z92)/(5)*(Y$89-$U$89))</f>
        <v>0.26834751216836183</v>
      </c>
      <c r="Z92" s="186">
        <f>+F30</f>
        <v>0.24522278318004453</v>
      </c>
      <c r="AA92" s="115">
        <f t="shared" si="20"/>
        <v>0.22635240421927683</v>
      </c>
      <c r="AB92" s="115">
        <f t="shared" si="20"/>
        <v>0.20748202525850912</v>
      </c>
      <c r="AC92" s="115">
        <f t="shared" si="20"/>
        <v>0.18861164629774141</v>
      </c>
      <c r="AD92" s="115">
        <f t="shared" si="20"/>
        <v>0.1697412673369737</v>
      </c>
      <c r="AE92" s="186">
        <f>+G30</f>
        <v>0.15087088837620599</v>
      </c>
      <c r="AF92" s="115">
        <f t="shared" si="21"/>
        <v>0.140171895890671</v>
      </c>
      <c r="AG92" s="115">
        <f t="shared" si="21"/>
        <v>0.12947290340513598</v>
      </c>
      <c r="AH92" s="115">
        <f t="shared" si="21"/>
        <v>0.11877391091960099</v>
      </c>
      <c r="AI92" s="115">
        <f t="shared" si="21"/>
        <v>0.10807491843406598</v>
      </c>
      <c r="AJ92" s="186">
        <f>+H30</f>
        <v>9.7375925948530978E-2</v>
      </c>
      <c r="AK92" s="115">
        <f t="shared" si="22"/>
        <v>8.9055526882085831E-2</v>
      </c>
      <c r="AL92" s="115">
        <f t="shared" si="22"/>
        <v>8.0735127815640684E-2</v>
      </c>
      <c r="AM92" s="115">
        <f t="shared" si="22"/>
        <v>7.2414728749195523E-2</v>
      </c>
      <c r="AN92" s="115">
        <f t="shared" si="22"/>
        <v>6.4094329682750389E-2</v>
      </c>
      <c r="AO92" s="186">
        <f>+I30</f>
        <v>5.5773930616305235E-2</v>
      </c>
      <c r="AP92" s="115">
        <f t="shared" si="23"/>
        <v>5.191837681035736E-2</v>
      </c>
      <c r="AQ92" s="115">
        <f t="shared" si="23"/>
        <v>4.8062823004409484E-2</v>
      </c>
      <c r="AR92" s="115">
        <f t="shared" si="23"/>
        <v>4.4207269198461609E-2</v>
      </c>
      <c r="AS92" s="115">
        <f t="shared" si="23"/>
        <v>4.0351715392513733E-2</v>
      </c>
      <c r="AT92" s="186">
        <f>+J30</f>
        <v>3.6496161586565858E-2</v>
      </c>
      <c r="AU92" s="115"/>
    </row>
    <row r="93" spans="2:48">
      <c r="B93" s="183" t="s">
        <v>175</v>
      </c>
      <c r="C93" s="115"/>
      <c r="D93" s="115"/>
      <c r="F93" s="184"/>
      <c r="G93" s="184"/>
      <c r="H93" s="185"/>
      <c r="I93" s="185"/>
      <c r="J93" s="186">
        <f>+D44</f>
        <v>4442.4983733472227</v>
      </c>
      <c r="K93" s="115">
        <f t="shared" si="24"/>
        <v>4505.1921725128095</v>
      </c>
      <c r="L93" s="115">
        <f t="shared" ref="L93:T97" si="27">$J93-(($J93-$U93)/(11)*(L$89-$J$89))</f>
        <v>4567.8859716783963</v>
      </c>
      <c r="M93" s="115">
        <f t="shared" si="27"/>
        <v>4630.5797708439832</v>
      </c>
      <c r="N93" s="115">
        <f t="shared" si="27"/>
        <v>4693.27357000957</v>
      </c>
      <c r="O93" s="115">
        <f t="shared" si="27"/>
        <v>4755.9673691751577</v>
      </c>
      <c r="P93" s="115">
        <f t="shared" si="27"/>
        <v>4818.6611683407446</v>
      </c>
      <c r="Q93" s="115">
        <f t="shared" si="27"/>
        <v>4881.3549675063314</v>
      </c>
      <c r="R93" s="115">
        <f t="shared" si="27"/>
        <v>4944.0487666719182</v>
      </c>
      <c r="S93" s="115">
        <f t="shared" si="27"/>
        <v>5006.742565837505</v>
      </c>
      <c r="T93" s="115">
        <f t="shared" si="27"/>
        <v>5069.4363650030919</v>
      </c>
      <c r="U93" s="186">
        <f>+E44</f>
        <v>5132.1301641686787</v>
      </c>
      <c r="V93" s="115">
        <f t="shared" si="26"/>
        <v>5176.7877411975687</v>
      </c>
      <c r="W93" s="115">
        <f t="shared" ref="W93:Y100" si="28">$U93-(($U93-$Z93)/(5)*(W$89-$U$89))</f>
        <v>5221.4453182264579</v>
      </c>
      <c r="X93" s="115">
        <f t="shared" si="28"/>
        <v>5266.1028952553479</v>
      </c>
      <c r="Y93" s="115">
        <f t="shared" si="28"/>
        <v>5310.760472284237</v>
      </c>
      <c r="Z93" s="186">
        <f>+F44</f>
        <v>5355.4180493131271</v>
      </c>
      <c r="AA93" s="115">
        <f t="shared" si="20"/>
        <v>5418.9929366512833</v>
      </c>
      <c r="AB93" s="115">
        <f t="shared" si="20"/>
        <v>5482.5678239894396</v>
      </c>
      <c r="AC93" s="115">
        <f t="shared" si="20"/>
        <v>5546.1427113275959</v>
      </c>
      <c r="AD93" s="115">
        <f t="shared" si="20"/>
        <v>5609.7175986657521</v>
      </c>
      <c r="AE93" s="186">
        <f>+G44</f>
        <v>5673.2924860039084</v>
      </c>
      <c r="AF93" s="115">
        <f t="shared" si="21"/>
        <v>5764.9989681080706</v>
      </c>
      <c r="AG93" s="115">
        <f t="shared" si="21"/>
        <v>5856.7054502122337</v>
      </c>
      <c r="AH93" s="115">
        <f t="shared" si="21"/>
        <v>5948.4119323163959</v>
      </c>
      <c r="AI93" s="115">
        <f t="shared" si="21"/>
        <v>6040.118414420559</v>
      </c>
      <c r="AJ93" s="186">
        <f>+H44</f>
        <v>6131.8248965247212</v>
      </c>
      <c r="AK93" s="115">
        <f t="shared" si="22"/>
        <v>6252.817465847028</v>
      </c>
      <c r="AL93" s="115">
        <f t="shared" si="22"/>
        <v>6373.8100351693338</v>
      </c>
      <c r="AM93" s="115">
        <f t="shared" si="22"/>
        <v>6494.8026044916405</v>
      </c>
      <c r="AN93" s="115">
        <f t="shared" si="22"/>
        <v>6615.7951738139463</v>
      </c>
      <c r="AO93" s="186">
        <f>+I44</f>
        <v>6736.7877431362531</v>
      </c>
      <c r="AP93" s="115">
        <f t="shared" si="23"/>
        <v>6825.9605484265576</v>
      </c>
      <c r="AQ93" s="115">
        <f t="shared" si="23"/>
        <v>6915.1333537168621</v>
      </c>
      <c r="AR93" s="115">
        <f t="shared" si="23"/>
        <v>7004.3061590071657</v>
      </c>
      <c r="AS93" s="115">
        <f t="shared" si="23"/>
        <v>7093.4789642974702</v>
      </c>
      <c r="AT93" s="186">
        <f>+J44</f>
        <v>7182.6517695877747</v>
      </c>
      <c r="AU93" s="186"/>
      <c r="AV93" s="186"/>
    </row>
    <row r="94" spans="2:48">
      <c r="B94" s="83" t="s">
        <v>176</v>
      </c>
      <c r="F94" s="184"/>
      <c r="G94" s="184"/>
      <c r="H94" s="185"/>
      <c r="I94" s="185"/>
      <c r="J94" s="186">
        <f>+D28</f>
        <v>13625.004647</v>
      </c>
      <c r="K94" s="115">
        <f t="shared" si="24"/>
        <v>13334.836622828485</v>
      </c>
      <c r="L94" s="115">
        <f t="shared" si="27"/>
        <v>13044.66859865697</v>
      </c>
      <c r="M94" s="115">
        <f t="shared" si="27"/>
        <v>12754.500574485453</v>
      </c>
      <c r="N94" s="115">
        <f t="shared" si="27"/>
        <v>12464.332550313939</v>
      </c>
      <c r="O94" s="115">
        <f t="shared" si="27"/>
        <v>12174.164526142424</v>
      </c>
      <c r="P94" s="115">
        <f t="shared" si="27"/>
        <v>11883.996501970909</v>
      </c>
      <c r="Q94" s="115">
        <f t="shared" si="27"/>
        <v>11593.828477799394</v>
      </c>
      <c r="R94" s="115">
        <f t="shared" si="27"/>
        <v>11303.660453627879</v>
      </c>
      <c r="S94" s="115">
        <f t="shared" si="27"/>
        <v>11013.492429456363</v>
      </c>
      <c r="T94" s="115">
        <f t="shared" si="27"/>
        <v>10723.324405284848</v>
      </c>
      <c r="U94" s="186">
        <f>+E28</f>
        <v>10433.156381113333</v>
      </c>
      <c r="V94" s="115">
        <f t="shared" si="26"/>
        <v>9888.5212301504052</v>
      </c>
      <c r="W94" s="115">
        <f t="shared" si="28"/>
        <v>9343.8860791874777</v>
      </c>
      <c r="X94" s="115">
        <f t="shared" si="28"/>
        <v>8799.2509282245483</v>
      </c>
      <c r="Y94" s="115">
        <f t="shared" si="28"/>
        <v>8254.6157772616207</v>
      </c>
      <c r="Z94" s="186">
        <f>+F28</f>
        <v>7709.9806262986931</v>
      </c>
      <c r="AA94" s="115">
        <f t="shared" si="20"/>
        <v>7190.5661964201381</v>
      </c>
      <c r="AB94" s="115">
        <f t="shared" si="20"/>
        <v>6671.1517665415831</v>
      </c>
      <c r="AC94" s="115">
        <f t="shared" si="20"/>
        <v>6151.7373366630272</v>
      </c>
      <c r="AD94" s="115">
        <f t="shared" si="20"/>
        <v>5632.3229067844723</v>
      </c>
      <c r="AE94" s="186">
        <f>+G28</f>
        <v>5112.9084769059173</v>
      </c>
      <c r="AF94" s="115">
        <f t="shared" si="21"/>
        <v>4798.7904577964237</v>
      </c>
      <c r="AG94" s="115">
        <f t="shared" si="21"/>
        <v>4484.6724386869291</v>
      </c>
      <c r="AH94" s="115">
        <f t="shared" si="21"/>
        <v>4170.5544195774346</v>
      </c>
      <c r="AI94" s="115">
        <f t="shared" si="21"/>
        <v>3856.436400467941</v>
      </c>
      <c r="AJ94" s="186">
        <f>+H28</f>
        <v>3542.3183813584469</v>
      </c>
      <c r="AK94" s="115">
        <f t="shared" si="22"/>
        <v>3273.5881925848089</v>
      </c>
      <c r="AL94" s="115">
        <f t="shared" si="22"/>
        <v>3004.8580038111704</v>
      </c>
      <c r="AM94" s="115">
        <f t="shared" si="22"/>
        <v>2736.1278150375324</v>
      </c>
      <c r="AN94" s="115">
        <f t="shared" si="22"/>
        <v>2467.3976262638944</v>
      </c>
      <c r="AO94" s="186">
        <f>+I28</f>
        <v>2198.6674374902559</v>
      </c>
      <c r="AP94" s="115">
        <f t="shared" si="23"/>
        <v>2069.4862810857639</v>
      </c>
      <c r="AQ94" s="115">
        <f t="shared" si="23"/>
        <v>1940.3051246812718</v>
      </c>
      <c r="AR94" s="115">
        <f t="shared" si="23"/>
        <v>1811.1239682767796</v>
      </c>
      <c r="AS94" s="115">
        <f t="shared" si="23"/>
        <v>1681.9428118722876</v>
      </c>
      <c r="AT94" s="186">
        <f>+J28</f>
        <v>1552.7616554677954</v>
      </c>
    </row>
    <row r="95" spans="2:48">
      <c r="B95" s="83" t="s">
        <v>177</v>
      </c>
      <c r="F95" s="184"/>
      <c r="G95" s="184"/>
      <c r="H95" s="185"/>
      <c r="I95" s="185"/>
      <c r="J95" s="186">
        <f>+D33</f>
        <v>8346.0621655155301</v>
      </c>
      <c r="K95" s="115">
        <f t="shared" si="24"/>
        <v>8344.8970725062518</v>
      </c>
      <c r="L95" s="115">
        <f t="shared" si="27"/>
        <v>8343.7319794969735</v>
      </c>
      <c r="M95" s="115">
        <f t="shared" si="27"/>
        <v>8342.5668864876952</v>
      </c>
      <c r="N95" s="115">
        <f t="shared" si="27"/>
        <v>8341.4017934784169</v>
      </c>
      <c r="O95" s="115">
        <f t="shared" si="27"/>
        <v>8340.2367004691387</v>
      </c>
      <c r="P95" s="115">
        <f t="shared" si="27"/>
        <v>8339.0716074598622</v>
      </c>
      <c r="Q95" s="115">
        <f t="shared" si="27"/>
        <v>8337.9065144505839</v>
      </c>
      <c r="R95" s="115">
        <f t="shared" si="27"/>
        <v>8336.7414214413056</v>
      </c>
      <c r="S95" s="115">
        <f t="shared" si="27"/>
        <v>8335.5763284320274</v>
      </c>
      <c r="T95" s="115">
        <f t="shared" si="27"/>
        <v>8334.4112354227491</v>
      </c>
      <c r="U95" s="186">
        <f>+E33</f>
        <v>8333.2461424134708</v>
      </c>
      <c r="V95" s="115">
        <f t="shared" si="26"/>
        <v>8217.3783480579841</v>
      </c>
      <c r="W95" s="115">
        <f t="shared" si="28"/>
        <v>8101.5105537024965</v>
      </c>
      <c r="X95" s="115">
        <f t="shared" si="28"/>
        <v>7985.6427593470098</v>
      </c>
      <c r="Y95" s="115">
        <f t="shared" si="28"/>
        <v>7869.7749649915222</v>
      </c>
      <c r="Z95" s="186">
        <f>+F33</f>
        <v>7753.9071706360355</v>
      </c>
      <c r="AA95" s="115">
        <f t="shared" si="20"/>
        <v>7664.9920004778996</v>
      </c>
      <c r="AB95" s="115">
        <f t="shared" si="20"/>
        <v>7576.0768303197647</v>
      </c>
      <c r="AC95" s="115">
        <f t="shared" si="20"/>
        <v>7487.1616601616288</v>
      </c>
      <c r="AD95" s="115">
        <f t="shared" si="20"/>
        <v>7398.2464900034938</v>
      </c>
      <c r="AE95" s="186">
        <f>+G33</f>
        <v>7309.3313198453579</v>
      </c>
      <c r="AF95" s="115">
        <f t="shared" si="21"/>
        <v>7206.619223818092</v>
      </c>
      <c r="AG95" s="115">
        <f t="shared" si="21"/>
        <v>7103.9071277908261</v>
      </c>
      <c r="AH95" s="115">
        <f t="shared" si="21"/>
        <v>7001.1950317635592</v>
      </c>
      <c r="AI95" s="115">
        <f t="shared" si="21"/>
        <v>6898.4829357362933</v>
      </c>
      <c r="AJ95" s="186">
        <f>+H33</f>
        <v>6795.7708397090273</v>
      </c>
      <c r="AK95" s="115">
        <f t="shared" si="22"/>
        <v>6684.184346778984</v>
      </c>
      <c r="AL95" s="115">
        <f t="shared" si="22"/>
        <v>6572.5978538489417</v>
      </c>
      <c r="AM95" s="115">
        <f t="shared" si="22"/>
        <v>6461.0113609188984</v>
      </c>
      <c r="AN95" s="115">
        <f t="shared" si="22"/>
        <v>6349.424867988856</v>
      </c>
      <c r="AO95" s="186">
        <f>+I33</f>
        <v>6237.8383750588127</v>
      </c>
      <c r="AP95" s="115">
        <f t="shared" si="23"/>
        <v>6150.285984888631</v>
      </c>
      <c r="AQ95" s="115">
        <f t="shared" si="23"/>
        <v>6062.7335947184492</v>
      </c>
      <c r="AR95" s="115">
        <f t="shared" si="23"/>
        <v>5975.1812045482675</v>
      </c>
      <c r="AS95" s="115">
        <f t="shared" si="23"/>
        <v>5887.6288143780857</v>
      </c>
      <c r="AT95" s="186">
        <f>+J33</f>
        <v>5800.076424207904</v>
      </c>
      <c r="AU95" s="115"/>
    </row>
    <row r="96" spans="2:48">
      <c r="B96" s="183" t="s">
        <v>158</v>
      </c>
      <c r="F96" s="184"/>
      <c r="G96" s="184"/>
      <c r="H96" s="185"/>
      <c r="I96" s="185"/>
      <c r="J96" s="186">
        <f>+D45</f>
        <v>2541.2199103500943</v>
      </c>
      <c r="K96" s="115">
        <f t="shared" si="24"/>
        <v>2478.5554492633173</v>
      </c>
      <c r="L96" s="115">
        <f t="shared" si="27"/>
        <v>2415.8909881765403</v>
      </c>
      <c r="M96" s="115">
        <f t="shared" si="27"/>
        <v>2353.2265270897633</v>
      </c>
      <c r="N96" s="115">
        <f t="shared" si="27"/>
        <v>2290.5620660029863</v>
      </c>
      <c r="O96" s="115">
        <f t="shared" si="27"/>
        <v>2227.8976049162093</v>
      </c>
      <c r="P96" s="115">
        <f t="shared" si="27"/>
        <v>2165.2331438294323</v>
      </c>
      <c r="Q96" s="115">
        <f t="shared" si="27"/>
        <v>2102.5686827426553</v>
      </c>
      <c r="R96" s="115">
        <f t="shared" si="27"/>
        <v>2039.904221655878</v>
      </c>
      <c r="S96" s="115">
        <f t="shared" si="27"/>
        <v>1977.239760569101</v>
      </c>
      <c r="T96" s="115">
        <f t="shared" si="27"/>
        <v>1914.575299482324</v>
      </c>
      <c r="U96" s="186">
        <f>+E45</f>
        <v>1851.910838395547</v>
      </c>
      <c r="V96" s="115">
        <f t="shared" si="26"/>
        <v>1744.1827745454796</v>
      </c>
      <c r="W96" s="115">
        <f t="shared" si="28"/>
        <v>1636.4547106954121</v>
      </c>
      <c r="X96" s="115">
        <f t="shared" si="28"/>
        <v>1528.7266468453449</v>
      </c>
      <c r="Y96" s="115">
        <f t="shared" si="28"/>
        <v>1420.9985829952775</v>
      </c>
      <c r="Z96" s="186">
        <f>+F45</f>
        <v>1313.2705191452101</v>
      </c>
      <c r="AA96" s="115">
        <f t="shared" si="20"/>
        <v>1221.8033507924608</v>
      </c>
      <c r="AB96" s="115">
        <f t="shared" si="20"/>
        <v>1130.3361824397116</v>
      </c>
      <c r="AC96" s="115">
        <f t="shared" si="20"/>
        <v>1038.8690140869624</v>
      </c>
      <c r="AD96" s="115">
        <f t="shared" si="20"/>
        <v>947.40184573421311</v>
      </c>
      <c r="AE96" s="186">
        <f>+G45</f>
        <v>855.93467738146387</v>
      </c>
      <c r="AF96" s="115">
        <f t="shared" si="21"/>
        <v>804.16616731584111</v>
      </c>
      <c r="AG96" s="115">
        <f t="shared" si="21"/>
        <v>752.39765725021823</v>
      </c>
      <c r="AH96" s="115">
        <f t="shared" si="21"/>
        <v>700.62914718459547</v>
      </c>
      <c r="AI96" s="115">
        <f t="shared" si="21"/>
        <v>648.86063711897259</v>
      </c>
      <c r="AJ96" s="186">
        <f>+H45</f>
        <v>597.09212705334983</v>
      </c>
      <c r="AK96" s="115">
        <f t="shared" si="22"/>
        <v>552.82112807517126</v>
      </c>
      <c r="AL96" s="115">
        <f t="shared" si="22"/>
        <v>508.55012909699269</v>
      </c>
      <c r="AM96" s="115">
        <f t="shared" si="22"/>
        <v>464.27913011881407</v>
      </c>
      <c r="AN96" s="115">
        <f t="shared" si="22"/>
        <v>420.0081311406355</v>
      </c>
      <c r="AO96" s="186">
        <f>+I45</f>
        <v>375.73713216245693</v>
      </c>
      <c r="AP96" s="115">
        <f t="shared" si="23"/>
        <v>353.01754965054727</v>
      </c>
      <c r="AQ96" s="115">
        <f t="shared" si="23"/>
        <v>330.2979671386376</v>
      </c>
      <c r="AR96" s="115">
        <f t="shared" si="23"/>
        <v>307.57838462672794</v>
      </c>
      <c r="AS96" s="115">
        <f t="shared" si="23"/>
        <v>284.85880211481827</v>
      </c>
      <c r="AT96" s="186">
        <f>+J45</f>
        <v>262.13921960290861</v>
      </c>
      <c r="AU96" s="186"/>
      <c r="AV96" s="186"/>
    </row>
    <row r="97" spans="2:48">
      <c r="B97" s="183" t="s">
        <v>159</v>
      </c>
      <c r="C97" s="115"/>
      <c r="D97" s="115"/>
      <c r="F97" s="184"/>
      <c r="G97" s="184"/>
      <c r="H97" s="185"/>
      <c r="I97" s="185"/>
      <c r="J97" s="186">
        <f>+D46</f>
        <v>2261.4131158700566</v>
      </c>
      <c r="K97" s="115">
        <f t="shared" si="24"/>
        <v>2228.7631326764931</v>
      </c>
      <c r="L97" s="115">
        <f t="shared" si="27"/>
        <v>2196.1131494829301</v>
      </c>
      <c r="M97" s="115">
        <f t="shared" si="27"/>
        <v>2163.4631662893667</v>
      </c>
      <c r="N97" s="115">
        <f t="shared" si="27"/>
        <v>2130.8131830958032</v>
      </c>
      <c r="O97" s="115">
        <f t="shared" si="27"/>
        <v>2098.1631999022402</v>
      </c>
      <c r="P97" s="115">
        <f t="shared" si="27"/>
        <v>2065.5132167086767</v>
      </c>
      <c r="Q97" s="115">
        <f t="shared" si="27"/>
        <v>2032.8632335151135</v>
      </c>
      <c r="R97" s="115">
        <f t="shared" si="27"/>
        <v>2000.2132503215503</v>
      </c>
      <c r="S97" s="115">
        <f t="shared" si="27"/>
        <v>1967.5632671279868</v>
      </c>
      <c r="T97" s="115">
        <f t="shared" si="27"/>
        <v>1934.9132839344236</v>
      </c>
      <c r="U97" s="186">
        <f>+E46</f>
        <v>1902.2633007408604</v>
      </c>
      <c r="V97" s="115">
        <f t="shared" si="26"/>
        <v>1877.8866266611003</v>
      </c>
      <c r="W97" s="115">
        <f t="shared" si="28"/>
        <v>1853.5099525813403</v>
      </c>
      <c r="X97" s="115">
        <f t="shared" si="28"/>
        <v>1829.1332785015802</v>
      </c>
      <c r="Y97" s="115">
        <f t="shared" si="28"/>
        <v>1804.7566044218202</v>
      </c>
      <c r="Z97" s="186">
        <f>+F46</f>
        <v>1780.3799303420601</v>
      </c>
      <c r="AA97" s="115">
        <f t="shared" si="20"/>
        <v>1757.205461067638</v>
      </c>
      <c r="AB97" s="115">
        <f t="shared" si="20"/>
        <v>1734.0309917932159</v>
      </c>
      <c r="AC97" s="115">
        <f t="shared" si="20"/>
        <v>1710.8565225187936</v>
      </c>
      <c r="AD97" s="115">
        <f t="shared" si="20"/>
        <v>1687.6820532443714</v>
      </c>
      <c r="AE97" s="186">
        <f>+G46</f>
        <v>1664.5075839699493</v>
      </c>
      <c r="AF97" s="115">
        <f t="shared" si="21"/>
        <v>1645.5040072792226</v>
      </c>
      <c r="AG97" s="115">
        <f t="shared" si="21"/>
        <v>1626.5004305884959</v>
      </c>
      <c r="AH97" s="115">
        <f t="shared" si="21"/>
        <v>1607.4968538977691</v>
      </c>
      <c r="AI97" s="115">
        <f t="shared" si="21"/>
        <v>1588.4932772070424</v>
      </c>
      <c r="AJ97" s="186">
        <f>+H46</f>
        <v>1569.4897005163157</v>
      </c>
      <c r="AK97" s="115">
        <f t="shared" si="22"/>
        <v>1558.4689550967937</v>
      </c>
      <c r="AL97" s="115">
        <f t="shared" si="22"/>
        <v>1547.4482096772715</v>
      </c>
      <c r="AM97" s="115">
        <f t="shared" si="22"/>
        <v>1536.4274642577495</v>
      </c>
      <c r="AN97" s="115">
        <f t="shared" si="22"/>
        <v>1525.4067188382273</v>
      </c>
      <c r="AO97" s="186">
        <f>+I46</f>
        <v>1514.3859734187054</v>
      </c>
      <c r="AP97" s="115">
        <f t="shared" si="23"/>
        <v>1496.1584002598283</v>
      </c>
      <c r="AQ97" s="115">
        <f t="shared" si="23"/>
        <v>1477.9308271009513</v>
      </c>
      <c r="AR97" s="115">
        <f t="shared" si="23"/>
        <v>1459.7032539420743</v>
      </c>
      <c r="AS97" s="115">
        <f t="shared" si="23"/>
        <v>1441.4756807831973</v>
      </c>
      <c r="AT97" s="186">
        <f>+J46</f>
        <v>1423.2481076243203</v>
      </c>
      <c r="AU97" s="186"/>
      <c r="AV97" s="186"/>
    </row>
    <row r="98" spans="2:48">
      <c r="B98" s="183" t="str">
        <f>+B49</f>
        <v>New PLDV sales (millions/year)</v>
      </c>
      <c r="C98" s="115"/>
      <c r="D98" s="115"/>
      <c r="F98" s="196">
        <f>+D50</f>
        <v>62.831709613462252</v>
      </c>
      <c r="G98" s="115">
        <f>$F98-(($F98-$K98)/(5)*(G$89-$F$89))</f>
        <v>66.274532396098877</v>
      </c>
      <c r="H98" s="115">
        <f>$F98-(($F98-$K98)/(5)*(H$89-$F$89))</f>
        <v>69.717355178735502</v>
      </c>
      <c r="I98" s="115">
        <f>$F98-(($F98-$K98)/(5)*(I$89-$F$89))</f>
        <v>73.160177961372113</v>
      </c>
      <c r="J98" s="115">
        <f>$F98-(($F98-$K98)/(5)*(J$89-$F$89))</f>
        <v>76.603000744008739</v>
      </c>
      <c r="K98" s="186">
        <f>+E50</f>
        <v>80.045823526645364</v>
      </c>
      <c r="L98" s="115">
        <f t="shared" ref="L98:O100" si="29">$K98-(($K98-$P98)/(5)*(L$89-$K$89))</f>
        <v>79.796902896140509</v>
      </c>
      <c r="M98" s="115">
        <f t="shared" si="29"/>
        <v>79.547982265635667</v>
      </c>
      <c r="N98" s="115">
        <f t="shared" si="29"/>
        <v>79.299061635130812</v>
      </c>
      <c r="O98" s="115">
        <f t="shared" si="29"/>
        <v>79.050141004625971</v>
      </c>
      <c r="P98" s="186">
        <f>+F50</f>
        <v>78.801220374121115</v>
      </c>
      <c r="Q98" s="115">
        <f t="shared" ref="Q98:T100" si="30">$P98-(($P98-$U98)/(5)*(Q$89-$P$89))</f>
        <v>80.393803806632889</v>
      </c>
      <c r="R98" s="115">
        <f t="shared" si="30"/>
        <v>81.986387239144676</v>
      </c>
      <c r="S98" s="115">
        <f t="shared" si="30"/>
        <v>83.57897067165645</v>
      </c>
      <c r="T98" s="115">
        <f t="shared" si="30"/>
        <v>85.171554104168237</v>
      </c>
      <c r="U98" s="186">
        <f>+G50</f>
        <v>86.76413753668001</v>
      </c>
      <c r="V98" s="115">
        <f t="shared" si="26"/>
        <v>90.485288414643307</v>
      </c>
      <c r="W98" s="115">
        <f t="shared" si="28"/>
        <v>94.206439292606603</v>
      </c>
      <c r="X98" s="115">
        <f t="shared" si="28"/>
        <v>97.927590170569886</v>
      </c>
      <c r="Y98" s="115">
        <f t="shared" si="28"/>
        <v>101.64874104853318</v>
      </c>
      <c r="Z98" s="186">
        <f>+H50</f>
        <v>105.36989192649648</v>
      </c>
      <c r="AA98" s="115">
        <f t="shared" si="20"/>
        <v>104.98197176230789</v>
      </c>
      <c r="AB98" s="115">
        <f t="shared" si="20"/>
        <v>104.59405159811929</v>
      </c>
      <c r="AC98" s="115">
        <f t="shared" si="20"/>
        <v>104.20613143393071</v>
      </c>
      <c r="AD98" s="115">
        <f t="shared" si="20"/>
        <v>103.81821126974211</v>
      </c>
      <c r="AE98" s="186">
        <f>+I50</f>
        <v>103.43029110555352</v>
      </c>
      <c r="AF98" s="115">
        <f t="shared" si="21"/>
        <v>104.37514561412362</v>
      </c>
      <c r="AG98" s="115">
        <f t="shared" si="21"/>
        <v>105.32000012269371</v>
      </c>
      <c r="AH98" s="115">
        <f t="shared" si="21"/>
        <v>106.26485463126382</v>
      </c>
      <c r="AI98" s="115">
        <f t="shared" si="21"/>
        <v>107.2097091398339</v>
      </c>
      <c r="AJ98" s="186">
        <f>+J50</f>
        <v>108.15456364840401</v>
      </c>
      <c r="AK98" s="115">
        <f t="shared" si="22"/>
        <v>112.11753948918586</v>
      </c>
      <c r="AL98" s="115">
        <f t="shared" si="22"/>
        <v>116.08051532996771</v>
      </c>
      <c r="AM98" s="115">
        <f t="shared" si="22"/>
        <v>120.04349117074958</v>
      </c>
      <c r="AN98" s="115">
        <f t="shared" si="22"/>
        <v>124.00646701153143</v>
      </c>
      <c r="AO98" s="186">
        <f>+K50</f>
        <v>127.96944285231328</v>
      </c>
      <c r="AP98" s="115">
        <f t="shared" si="23"/>
        <v>127.36414869083865</v>
      </c>
      <c r="AQ98" s="115">
        <f t="shared" si="23"/>
        <v>126.758854529364</v>
      </c>
      <c r="AR98" s="115">
        <f t="shared" si="23"/>
        <v>126.15356036788937</v>
      </c>
      <c r="AS98" s="115">
        <f t="shared" si="23"/>
        <v>125.54826620641472</v>
      </c>
      <c r="AT98" s="186">
        <f>+L50</f>
        <v>124.94297204494009</v>
      </c>
      <c r="AU98" s="186"/>
      <c r="AV98" s="186"/>
    </row>
    <row r="99" spans="2:48">
      <c r="B99" s="183" t="s">
        <v>163</v>
      </c>
      <c r="F99" s="184"/>
      <c r="G99" s="184"/>
      <c r="H99" s="115">
        <f t="shared" ref="H99:K100" si="31">+H76</f>
        <v>33.66034211104455</v>
      </c>
      <c r="I99" s="115">
        <f t="shared" si="31"/>
        <v>36.656584771043129</v>
      </c>
      <c r="J99" s="115">
        <f t="shared" si="31"/>
        <v>39.652827431041715</v>
      </c>
      <c r="K99" s="186">
        <f t="shared" si="31"/>
        <v>42.649070091040294</v>
      </c>
      <c r="L99" s="115">
        <f t="shared" si="29"/>
        <v>41.570788387114092</v>
      </c>
      <c r="M99" s="115">
        <f t="shared" si="29"/>
        <v>40.492506683187891</v>
      </c>
      <c r="N99" s="115">
        <f t="shared" si="29"/>
        <v>39.414224979261697</v>
      </c>
      <c r="O99" s="115">
        <f t="shared" si="29"/>
        <v>38.335943275335495</v>
      </c>
      <c r="P99" s="186">
        <f>+L76</f>
        <v>37.257661571409294</v>
      </c>
      <c r="Q99" s="115">
        <f t="shared" si="30"/>
        <v>36.179379867483092</v>
      </c>
      <c r="R99" s="115">
        <f t="shared" si="30"/>
        <v>35.101098163556891</v>
      </c>
      <c r="S99" s="115">
        <f t="shared" si="30"/>
        <v>34.02281645963069</v>
      </c>
      <c r="T99" s="115">
        <f t="shared" si="30"/>
        <v>32.944534755704488</v>
      </c>
      <c r="U99" s="186">
        <f>+M76</f>
        <v>31.866253051778283</v>
      </c>
      <c r="V99" s="115">
        <f t="shared" si="26"/>
        <v>30.01255163578649</v>
      </c>
      <c r="W99" s="115">
        <f t="shared" si="28"/>
        <v>28.158850219794697</v>
      </c>
      <c r="X99" s="115">
        <f t="shared" si="28"/>
        <v>26.305148803802901</v>
      </c>
      <c r="Y99" s="115">
        <f t="shared" si="28"/>
        <v>24.451447387811108</v>
      </c>
      <c r="Z99" s="186">
        <f>+N76</f>
        <v>22.597745971819315</v>
      </c>
      <c r="AA99" s="115">
        <f t="shared" si="20"/>
        <v>21.023849501088815</v>
      </c>
      <c r="AB99" s="115">
        <f t="shared" si="20"/>
        <v>19.449953030358312</v>
      </c>
      <c r="AC99" s="115">
        <f t="shared" si="20"/>
        <v>17.876056559627813</v>
      </c>
      <c r="AD99" s="115">
        <f t="shared" si="20"/>
        <v>16.302160088897313</v>
      </c>
      <c r="AE99" s="186">
        <f>+O76</f>
        <v>14.728263618166812</v>
      </c>
      <c r="AF99" s="115">
        <f t="shared" si="21"/>
        <v>13.837471033738773</v>
      </c>
      <c r="AG99" s="115">
        <f t="shared" si="21"/>
        <v>12.946678449310733</v>
      </c>
      <c r="AH99" s="115">
        <f t="shared" si="21"/>
        <v>12.055885864882693</v>
      </c>
      <c r="AI99" s="115">
        <f t="shared" si="21"/>
        <v>11.165093280454652</v>
      </c>
      <c r="AJ99" s="186">
        <f>+P76</f>
        <v>10.274300696026613</v>
      </c>
      <c r="AK99" s="115">
        <f t="shared" si="22"/>
        <v>9.5125194984415824</v>
      </c>
      <c r="AL99" s="115">
        <f t="shared" si="22"/>
        <v>8.7507383008565522</v>
      </c>
      <c r="AM99" s="115">
        <f t="shared" si="22"/>
        <v>7.988957103271523</v>
      </c>
      <c r="AN99" s="115">
        <f t="shared" si="22"/>
        <v>7.2271759056864928</v>
      </c>
      <c r="AO99" s="186">
        <f>+Q76</f>
        <v>6.4653947081014627</v>
      </c>
      <c r="AP99" s="115">
        <f t="shared" si="23"/>
        <v>6.0744536592426979</v>
      </c>
      <c r="AQ99" s="115">
        <f t="shared" si="23"/>
        <v>5.6835126103839331</v>
      </c>
      <c r="AR99" s="115">
        <f t="shared" si="23"/>
        <v>5.2925715615251683</v>
      </c>
      <c r="AS99" s="115">
        <f t="shared" si="23"/>
        <v>4.9016305126664035</v>
      </c>
      <c r="AT99" s="186">
        <f>+R76</f>
        <v>4.5106894638076387</v>
      </c>
    </row>
    <row r="100" spans="2:48">
      <c r="B100" s="183" t="s">
        <v>164</v>
      </c>
      <c r="F100" s="184"/>
      <c r="G100" s="184"/>
      <c r="H100" s="115">
        <f t="shared" si="31"/>
        <v>19.074519197709588</v>
      </c>
      <c r="I100" s="115">
        <f t="shared" si="31"/>
        <v>19.16114678128724</v>
      </c>
      <c r="J100" s="115">
        <f t="shared" si="31"/>
        <v>19.247774364864892</v>
      </c>
      <c r="K100" s="186">
        <f t="shared" si="31"/>
        <v>19.334401948442544</v>
      </c>
      <c r="L100" s="115">
        <f t="shared" si="29"/>
        <v>19.051165076197549</v>
      </c>
      <c r="M100" s="115">
        <f t="shared" si="29"/>
        <v>18.767928203952554</v>
      </c>
      <c r="N100" s="115">
        <f t="shared" si="29"/>
        <v>18.484691331707559</v>
      </c>
      <c r="O100" s="115">
        <f t="shared" si="29"/>
        <v>18.201454459462564</v>
      </c>
      <c r="P100" s="186">
        <f>+L77</f>
        <v>17.918217587217569</v>
      </c>
      <c r="Q100" s="115">
        <f t="shared" si="30"/>
        <v>17.634980714972574</v>
      </c>
      <c r="R100" s="115">
        <f t="shared" si="30"/>
        <v>17.351743842727579</v>
      </c>
      <c r="S100" s="115">
        <f t="shared" si="30"/>
        <v>17.068506970482584</v>
      </c>
      <c r="T100" s="115">
        <f t="shared" si="30"/>
        <v>16.785270098237589</v>
      </c>
      <c r="U100" s="186">
        <f>+M77</f>
        <v>16.502033225992594</v>
      </c>
      <c r="V100" s="115">
        <f t="shared" si="26"/>
        <v>16.290566871441822</v>
      </c>
      <c r="W100" s="115">
        <f t="shared" si="28"/>
        <v>16.079100516891046</v>
      </c>
      <c r="X100" s="115">
        <f t="shared" si="28"/>
        <v>15.867634162340273</v>
      </c>
      <c r="Y100" s="115">
        <f t="shared" si="28"/>
        <v>15.656167807789501</v>
      </c>
      <c r="Z100" s="186">
        <f>+N77</f>
        <v>15.444701453238727</v>
      </c>
      <c r="AA100" s="115">
        <f t="shared" si="20"/>
        <v>15.243664161601801</v>
      </c>
      <c r="AB100" s="115">
        <f t="shared" si="20"/>
        <v>15.042626869964877</v>
      </c>
      <c r="AC100" s="115">
        <f t="shared" si="20"/>
        <v>14.841589578327952</v>
      </c>
      <c r="AD100" s="115">
        <f t="shared" si="20"/>
        <v>14.640552286691028</v>
      </c>
      <c r="AE100" s="186">
        <f>+O77</f>
        <v>14.439514995054102</v>
      </c>
      <c r="AF100" s="115">
        <f t="shared" si="21"/>
        <v>14.274659975330525</v>
      </c>
      <c r="AG100" s="115">
        <f t="shared" si="21"/>
        <v>14.109804955606949</v>
      </c>
      <c r="AH100" s="115">
        <f t="shared" si="21"/>
        <v>13.944949935883372</v>
      </c>
      <c r="AI100" s="115">
        <f t="shared" si="21"/>
        <v>13.780094916159795</v>
      </c>
      <c r="AJ100" s="186">
        <f>+P77</f>
        <v>13.615239896436218</v>
      </c>
      <c r="AK100" s="115">
        <f t="shared" si="22"/>
        <v>13.51963551453108</v>
      </c>
      <c r="AL100" s="115">
        <f t="shared" si="22"/>
        <v>13.424031132625942</v>
      </c>
      <c r="AM100" s="115">
        <f t="shared" si="22"/>
        <v>13.328426750720803</v>
      </c>
      <c r="AN100" s="115">
        <f t="shared" si="22"/>
        <v>13.232822368815665</v>
      </c>
      <c r="AO100" s="186">
        <f>+Q77</f>
        <v>13.137217986910526</v>
      </c>
      <c r="AP100" s="115">
        <f t="shared" si="23"/>
        <v>12.979094756661668</v>
      </c>
      <c r="AQ100" s="115">
        <f t="shared" si="23"/>
        <v>12.82097152641281</v>
      </c>
      <c r="AR100" s="115">
        <f t="shared" si="23"/>
        <v>12.662848296163952</v>
      </c>
      <c r="AS100" s="115">
        <f t="shared" si="23"/>
        <v>12.504725065915094</v>
      </c>
      <c r="AT100" s="186">
        <f>+R77</f>
        <v>12.346601835666236</v>
      </c>
    </row>
    <row r="101" spans="2:48">
      <c r="B101" s="183" t="s">
        <v>165</v>
      </c>
      <c r="F101" s="184"/>
      <c r="G101" s="184"/>
      <c r="H101" s="115">
        <f>+H99/H98*1000</f>
        <v>482.8115183765791</v>
      </c>
      <c r="I101" s="115">
        <f>+I99/I98*1000</f>
        <v>501.04559327886631</v>
      </c>
      <c r="J101" s="115">
        <f>+J99/J98*1000</f>
        <v>517.64065435965358</v>
      </c>
      <c r="K101" s="115">
        <f>+K99/K98*1000</f>
        <v>532.80818676121714</v>
      </c>
      <c r="L101" s="115">
        <f>+L99/L98*1000</f>
        <v>520.95741662079877</v>
      </c>
      <c r="M101" s="115">
        <f t="shared" ref="M101:AT101" si="32">+M99/M98*1000</f>
        <v>509.0324798933392</v>
      </c>
      <c r="N101" s="115">
        <f t="shared" si="32"/>
        <v>497.03267814963067</v>
      </c>
      <c r="O101" s="115">
        <f t="shared" si="32"/>
        <v>484.95730416334231</v>
      </c>
      <c r="P101" s="115">
        <f t="shared" si="32"/>
        <v>472.8056417720781</v>
      </c>
      <c r="Q101" s="115">
        <f t="shared" si="32"/>
        <v>450.02696917418547</v>
      </c>
      <c r="R101" s="115">
        <f t="shared" si="32"/>
        <v>428.13324681780529</v>
      </c>
      <c r="S101" s="115">
        <f t="shared" si="32"/>
        <v>407.07388696243669</v>
      </c>
      <c r="T101" s="115">
        <f t="shared" si="32"/>
        <v>386.80208553447312</v>
      </c>
      <c r="U101" s="115">
        <f t="shared" si="32"/>
        <v>367.27447487513666</v>
      </c>
      <c r="V101" s="115">
        <f t="shared" si="32"/>
        <v>331.68432307200931</v>
      </c>
      <c r="W101" s="115">
        <f t="shared" si="32"/>
        <v>298.90579063637983</v>
      </c>
      <c r="X101" s="115">
        <f t="shared" si="32"/>
        <v>268.61836136256085</v>
      </c>
      <c r="Y101" s="115">
        <f t="shared" si="32"/>
        <v>240.5484527952641</v>
      </c>
      <c r="Z101" s="115">
        <f t="shared" si="32"/>
        <v>214.46112887334994</v>
      </c>
      <c r="AA101" s="115">
        <f t="shared" si="32"/>
        <v>200.26152250873511</v>
      </c>
      <c r="AB101" s="115">
        <f t="shared" si="32"/>
        <v>185.95658866998173</v>
      </c>
      <c r="AC101" s="115">
        <f t="shared" si="32"/>
        <v>171.54515107358804</v>
      </c>
      <c r="AD101" s="115">
        <f t="shared" si="32"/>
        <v>157.02601585516425</v>
      </c>
      <c r="AE101" s="115">
        <f t="shared" si="32"/>
        <v>142.39797123974256</v>
      </c>
      <c r="AF101" s="115">
        <f t="shared" si="32"/>
        <v>132.57438782309436</v>
      </c>
      <c r="AG101" s="115">
        <f t="shared" si="32"/>
        <v>122.92706451033379</v>
      </c>
      <c r="AH101" s="115">
        <f t="shared" si="32"/>
        <v>113.45129964856483</v>
      </c>
      <c r="AI101" s="115">
        <f t="shared" si="32"/>
        <v>104.14255733025067</v>
      </c>
      <c r="AJ101" s="115">
        <f t="shared" si="32"/>
        <v>94.996460153331924</v>
      </c>
      <c r="AK101" s="115">
        <f t="shared" si="32"/>
        <v>84.844169268975961</v>
      </c>
      <c r="AL101" s="115">
        <f t="shared" si="32"/>
        <v>75.385074540562741</v>
      </c>
      <c r="AM101" s="115">
        <f t="shared" si="32"/>
        <v>66.550522859319784</v>
      </c>
      <c r="AN101" s="115">
        <f t="shared" si="32"/>
        <v>58.280637130113817</v>
      </c>
      <c r="AO101" s="115">
        <f t="shared" si="32"/>
        <v>50.522957387280591</v>
      </c>
      <c r="AP101" s="115">
        <f t="shared" si="32"/>
        <v>47.693591341686847</v>
      </c>
      <c r="AQ101" s="115">
        <f t="shared" si="32"/>
        <v>44.837203929350231</v>
      </c>
      <c r="AR101" s="115">
        <f t="shared" si="32"/>
        <v>41.953406198691155</v>
      </c>
      <c r="AS101" s="115">
        <f t="shared" si="32"/>
        <v>39.041801697265981</v>
      </c>
      <c r="AT101" s="115">
        <f t="shared" si="32"/>
        <v>36.101986290074898</v>
      </c>
    </row>
    <row r="102" spans="2:48">
      <c r="B102" s="183" t="s">
        <v>166</v>
      </c>
      <c r="F102" s="184"/>
      <c r="G102" s="184"/>
      <c r="H102" s="115">
        <f>+H100/H98*1000</f>
        <v>273.59786022874698</v>
      </c>
      <c r="I102" s="115">
        <f t="shared" ref="I102:AT102" si="33">+I100/I98*1000</f>
        <v>261.90678201198671</v>
      </c>
      <c r="J102" s="115">
        <f t="shared" si="33"/>
        <v>251.26658457136608</v>
      </c>
      <c r="K102" s="115">
        <f t="shared" si="33"/>
        <v>241.54167071573167</v>
      </c>
      <c r="L102" s="115">
        <f t="shared" si="33"/>
        <v>238.74567038013433</v>
      </c>
      <c r="M102" s="115">
        <f t="shared" si="33"/>
        <v>235.93217162040082</v>
      </c>
      <c r="N102" s="115">
        <f t="shared" si="33"/>
        <v>233.10100965329116</v>
      </c>
      <c r="O102" s="115">
        <f t="shared" si="33"/>
        <v>230.25201762002453</v>
      </c>
      <c r="P102" s="115">
        <f t="shared" si="33"/>
        <v>227.38502655349791</v>
      </c>
      <c r="Q102" s="115">
        <f t="shared" si="33"/>
        <v>219.35746139576992</v>
      </c>
      <c r="R102" s="115">
        <f t="shared" si="33"/>
        <v>211.64176672542695</v>
      </c>
      <c r="S102" s="115">
        <f t="shared" si="33"/>
        <v>204.22011462114006</v>
      </c>
      <c r="T102" s="115">
        <f t="shared" si="33"/>
        <v>197.0760105857471</v>
      </c>
      <c r="U102" s="115">
        <f t="shared" si="33"/>
        <v>190.19417116912237</v>
      </c>
      <c r="V102" s="115">
        <f t="shared" si="33"/>
        <v>180.03553016034269</v>
      </c>
      <c r="W102" s="115">
        <f t="shared" si="33"/>
        <v>170.67942104200671</v>
      </c>
      <c r="X102" s="115">
        <f t="shared" si="33"/>
        <v>162.03435757687993</v>
      </c>
      <c r="Y102" s="115">
        <f t="shared" si="33"/>
        <v>154.02225001797427</v>
      </c>
      <c r="Z102" s="115">
        <f t="shared" si="33"/>
        <v>146.57603961492703</v>
      </c>
      <c r="AA102" s="115">
        <f t="shared" si="33"/>
        <v>145.20268485826625</v>
      </c>
      <c r="AB102" s="115">
        <f t="shared" si="33"/>
        <v>143.81914305952137</v>
      </c>
      <c r="AC102" s="115">
        <f t="shared" si="33"/>
        <v>142.42530045113412</v>
      </c>
      <c r="AD102" s="115">
        <f t="shared" si="33"/>
        <v>141.02104156516157</v>
      </c>
      <c r="AE102" s="115">
        <f t="shared" si="33"/>
        <v>139.60624920138889</v>
      </c>
      <c r="AF102" s="115">
        <f t="shared" si="33"/>
        <v>136.76301854566168</v>
      </c>
      <c r="AG102" s="115">
        <f t="shared" si="33"/>
        <v>133.97080268865906</v>
      </c>
      <c r="AH102" s="115">
        <f t="shared" si="33"/>
        <v>131.22824083533519</v>
      </c>
      <c r="AI102" s="115">
        <f t="shared" si="33"/>
        <v>128.53402016217004</v>
      </c>
      <c r="AJ102" s="115">
        <f t="shared" si="33"/>
        <v>125.88687372173715</v>
      </c>
      <c r="AK102" s="115">
        <f t="shared" si="33"/>
        <v>120.58448282157582</v>
      </c>
      <c r="AL102" s="115">
        <f t="shared" si="33"/>
        <v>115.64413798876677</v>
      </c>
      <c r="AM102" s="115">
        <f t="shared" si="33"/>
        <v>111.02998272319888</v>
      </c>
      <c r="AN102" s="115">
        <f t="shared" si="33"/>
        <v>106.71074410647581</v>
      </c>
      <c r="AO102" s="115">
        <f t="shared" si="33"/>
        <v>102.65902307687549</v>
      </c>
      <c r="AP102" s="115">
        <f t="shared" si="33"/>
        <v>101.90540187385761</v>
      </c>
      <c r="AQ102" s="115">
        <f t="shared" si="33"/>
        <v>101.14458334303424</v>
      </c>
      <c r="AR102" s="115">
        <f t="shared" si="33"/>
        <v>100.37646388446366</v>
      </c>
      <c r="AS102" s="115">
        <f t="shared" si="33"/>
        <v>99.600937900297197</v>
      </c>
      <c r="AT102" s="115">
        <f t="shared" si="33"/>
        <v>98.817897746384247</v>
      </c>
    </row>
    <row r="103" spans="2:48">
      <c r="B103" s="183" t="s">
        <v>178</v>
      </c>
      <c r="F103" s="184"/>
      <c r="G103" s="184"/>
      <c r="H103" s="115">
        <f>+H101+H102</f>
        <v>756.40937860532608</v>
      </c>
      <c r="I103" s="115">
        <f t="shared" ref="I103:AT103" si="34">+I101+I102</f>
        <v>762.95237529085307</v>
      </c>
      <c r="J103" s="115">
        <f t="shared" si="34"/>
        <v>768.90723893101972</v>
      </c>
      <c r="K103" s="115">
        <f t="shared" si="34"/>
        <v>774.34985747694884</v>
      </c>
      <c r="L103" s="115">
        <f t="shared" si="34"/>
        <v>759.70308700093312</v>
      </c>
      <c r="M103" s="115">
        <f t="shared" si="34"/>
        <v>744.96465151374002</v>
      </c>
      <c r="N103" s="115">
        <f t="shared" si="34"/>
        <v>730.13368780292183</v>
      </c>
      <c r="O103" s="115">
        <f t="shared" si="34"/>
        <v>715.20932178336682</v>
      </c>
      <c r="P103" s="115">
        <f t="shared" si="34"/>
        <v>700.19066832557598</v>
      </c>
      <c r="Q103" s="115">
        <f t="shared" si="34"/>
        <v>669.38443056995538</v>
      </c>
      <c r="R103" s="115">
        <f t="shared" si="34"/>
        <v>639.77501354323226</v>
      </c>
      <c r="S103" s="115">
        <f t="shared" si="34"/>
        <v>611.2940015835768</v>
      </c>
      <c r="T103" s="115">
        <f t="shared" si="34"/>
        <v>583.87809612022022</v>
      </c>
      <c r="U103" s="115">
        <f t="shared" si="34"/>
        <v>557.468646044259</v>
      </c>
      <c r="V103" s="115">
        <f t="shared" si="34"/>
        <v>511.71985323235197</v>
      </c>
      <c r="W103" s="115">
        <f t="shared" si="34"/>
        <v>469.58521167838654</v>
      </c>
      <c r="X103" s="115">
        <f t="shared" si="34"/>
        <v>430.65271893944077</v>
      </c>
      <c r="Y103" s="115">
        <f t="shared" si="34"/>
        <v>394.57070281323837</v>
      </c>
      <c r="Z103" s="115">
        <f t="shared" si="34"/>
        <v>361.03716848827696</v>
      </c>
      <c r="AA103" s="115">
        <f t="shared" si="34"/>
        <v>345.46420736700134</v>
      </c>
      <c r="AB103" s="115">
        <f t="shared" si="34"/>
        <v>329.77573172950309</v>
      </c>
      <c r="AC103" s="115">
        <f t="shared" si="34"/>
        <v>313.97045152472219</v>
      </c>
      <c r="AD103" s="115">
        <f t="shared" si="34"/>
        <v>298.04705742032581</v>
      </c>
      <c r="AE103" s="115">
        <f t="shared" si="34"/>
        <v>282.00422044113145</v>
      </c>
      <c r="AF103" s="115">
        <f t="shared" si="34"/>
        <v>269.33740636875604</v>
      </c>
      <c r="AG103" s="115">
        <f t="shared" si="34"/>
        <v>256.89786719899286</v>
      </c>
      <c r="AH103" s="115">
        <f t="shared" si="34"/>
        <v>244.67954048390001</v>
      </c>
      <c r="AI103" s="115">
        <f t="shared" si="34"/>
        <v>232.67657749242071</v>
      </c>
      <c r="AJ103" s="115">
        <f t="shared" si="34"/>
        <v>220.88333387506907</v>
      </c>
      <c r="AK103" s="115">
        <f t="shared" si="34"/>
        <v>205.42865209055179</v>
      </c>
      <c r="AL103" s="115">
        <f t="shared" si="34"/>
        <v>191.02921252932953</v>
      </c>
      <c r="AM103" s="115">
        <f t="shared" si="34"/>
        <v>177.58050558251867</v>
      </c>
      <c r="AN103" s="115">
        <f t="shared" si="34"/>
        <v>164.99138123658963</v>
      </c>
      <c r="AO103" s="115">
        <f t="shared" si="34"/>
        <v>153.18198046415608</v>
      </c>
      <c r="AP103" s="115">
        <f t="shared" si="34"/>
        <v>149.59899321554445</v>
      </c>
      <c r="AQ103" s="115">
        <f t="shared" si="34"/>
        <v>145.98178727238448</v>
      </c>
      <c r="AR103" s="115">
        <f t="shared" si="34"/>
        <v>142.32987008315482</v>
      </c>
      <c r="AS103" s="115">
        <f t="shared" si="34"/>
        <v>138.64273959756318</v>
      </c>
      <c r="AT103" s="115">
        <f t="shared" si="34"/>
        <v>134.91988403645914</v>
      </c>
    </row>
    <row r="106" spans="2:48">
      <c r="B106" s="197"/>
    </row>
    <row r="133" spans="2:47">
      <c r="B133" t="s">
        <v>179</v>
      </c>
      <c r="H133" s="115">
        <v>21.340633097842264</v>
      </c>
      <c r="I133" s="115">
        <v>20.671889381375692</v>
      </c>
      <c r="J133" s="115">
        <v>20.003145664909116</v>
      </c>
      <c r="K133" s="115">
        <v>19.334401948442544</v>
      </c>
      <c r="L133" s="115">
        <v>19.055445145168289</v>
      </c>
      <c r="M133" s="115">
        <v>18.776488341894034</v>
      </c>
      <c r="N133" s="115">
        <v>18.497531538619782</v>
      </c>
      <c r="O133" s="115">
        <v>18.218574735345527</v>
      </c>
      <c r="P133" s="115">
        <v>17.939617932071272</v>
      </c>
      <c r="Q133" s="115">
        <v>17.660661128797017</v>
      </c>
      <c r="R133" s="115">
        <v>17.381704325522762</v>
      </c>
      <c r="S133" s="115">
        <v>17.10274752224851</v>
      </c>
      <c r="T133" s="115">
        <v>16.823790718974255</v>
      </c>
      <c r="U133" s="115">
        <v>16.5448339157</v>
      </c>
      <c r="V133" s="115">
        <v>16.308316816698476</v>
      </c>
      <c r="W133" s="115">
        <v>16.071799717696951</v>
      </c>
      <c r="X133" s="115">
        <v>15.835282618695423</v>
      </c>
      <c r="Y133" s="115">
        <v>15.598765519693899</v>
      </c>
      <c r="Z133" s="115">
        <v>15.362248420692373</v>
      </c>
      <c r="AA133" s="115">
        <v>15.14738936012378</v>
      </c>
      <c r="AB133" s="115">
        <v>14.932530299555186</v>
      </c>
      <c r="AC133" s="115">
        <v>14.717671238986595</v>
      </c>
      <c r="AD133" s="115">
        <v>14.502812178418001</v>
      </c>
      <c r="AE133" s="115">
        <v>14.287953117849408</v>
      </c>
      <c r="AF133" s="115">
        <v>14.113119633404883</v>
      </c>
      <c r="AG133" s="115">
        <v>13.938286148960357</v>
      </c>
      <c r="AH133" s="115">
        <v>13.763452664515833</v>
      </c>
      <c r="AI133" s="115">
        <v>13.588619180071309</v>
      </c>
      <c r="AJ133" s="115">
        <v>13.413785695626784</v>
      </c>
      <c r="AK133" s="115">
        <v>13.319391660679532</v>
      </c>
      <c r="AL133" s="115">
        <v>13.22499762573228</v>
      </c>
      <c r="AM133" s="115">
        <v>13.130603590785027</v>
      </c>
      <c r="AN133" s="115">
        <v>13.036209555837775</v>
      </c>
      <c r="AO133" s="115">
        <v>12.941815520890522</v>
      </c>
      <c r="AP133" s="115">
        <v>12.784989116977737</v>
      </c>
      <c r="AQ133" s="115">
        <v>12.628162713064953</v>
      </c>
      <c r="AR133" s="115">
        <v>12.471336309152166</v>
      </c>
      <c r="AS133" s="115">
        <v>12.314509905239381</v>
      </c>
      <c r="AT133" s="115">
        <v>12.157683501326595</v>
      </c>
      <c r="AU133" s="115" t="s">
        <v>75</v>
      </c>
    </row>
    <row r="134" spans="2:47">
      <c r="B134" t="s">
        <v>180</v>
      </c>
      <c r="H134" s="115">
        <v>37.659298433373166</v>
      </c>
      <c r="I134" s="115">
        <v>39.32255565259554</v>
      </c>
      <c r="J134" s="115">
        <v>40.985812871817927</v>
      </c>
      <c r="K134" s="115">
        <v>42.649070091040301</v>
      </c>
      <c r="L134" s="115">
        <v>43.237450017782457</v>
      </c>
      <c r="M134" s="115">
        <v>43.825829944524614</v>
      </c>
      <c r="N134" s="115">
        <v>44.41420987126677</v>
      </c>
      <c r="O134" s="115">
        <v>45.002589798008927</v>
      </c>
      <c r="P134" s="115">
        <v>45.590969724751083</v>
      </c>
      <c r="Q134" s="115">
        <v>42.713568050879729</v>
      </c>
      <c r="R134" s="115">
        <v>39.836166377008375</v>
      </c>
      <c r="S134" s="115">
        <v>36.958764703137028</v>
      </c>
      <c r="T134" s="115">
        <v>34.081363029265674</v>
      </c>
      <c r="U134" s="115">
        <v>31.20396135539432</v>
      </c>
      <c r="V134" s="115">
        <v>29.693841555950375</v>
      </c>
      <c r="W134" s="115">
        <v>28.183721756506429</v>
      </c>
      <c r="X134" s="115">
        <v>26.673601957062484</v>
      </c>
      <c r="Y134" s="115">
        <v>25.163482157618539</v>
      </c>
      <c r="Z134" s="115">
        <v>23.653362358174594</v>
      </c>
      <c r="AA134" s="115">
        <v>21.948345810887638</v>
      </c>
      <c r="AB134" s="115">
        <v>20.243329263600685</v>
      </c>
      <c r="AC134" s="115">
        <v>18.53831271631373</v>
      </c>
      <c r="AD134" s="115">
        <v>16.833296169026777</v>
      </c>
      <c r="AE134" s="115">
        <v>15.128279621739823</v>
      </c>
      <c r="AF134" s="115">
        <v>14.150349467733681</v>
      </c>
      <c r="AG134" s="115">
        <v>13.172419313727538</v>
      </c>
      <c r="AH134" s="115">
        <v>12.194489159721394</v>
      </c>
      <c r="AI134" s="115">
        <v>11.216559005715251</v>
      </c>
      <c r="AJ134" s="115">
        <v>10.238628851709109</v>
      </c>
      <c r="AK134" s="115">
        <v>9.4732576083617754</v>
      </c>
      <c r="AL134" s="115">
        <v>8.707886365014442</v>
      </c>
      <c r="AM134" s="115">
        <v>7.9425151216671068</v>
      </c>
      <c r="AN134" s="115">
        <v>7.1771438783197725</v>
      </c>
      <c r="AO134" s="115">
        <v>6.4117726349724391</v>
      </c>
      <c r="AP134" s="115">
        <v>6.0137772549958104</v>
      </c>
      <c r="AQ134" s="115">
        <v>5.6157818750191835</v>
      </c>
      <c r="AR134" s="115">
        <v>5.2177864950425548</v>
      </c>
      <c r="AS134" s="115">
        <v>4.8197911150659269</v>
      </c>
      <c r="AT134" s="115">
        <v>4.4217957350892991</v>
      </c>
      <c r="AU134" s="115" t="s">
        <v>75</v>
      </c>
    </row>
    <row r="135" spans="2:47">
      <c r="B135" t="s">
        <v>181</v>
      </c>
      <c r="H135" s="115">
        <v>273.59786022874698</v>
      </c>
      <c r="I135" s="115">
        <v>262.91246372440855</v>
      </c>
      <c r="J135" s="115">
        <v>252.22706722007013</v>
      </c>
      <c r="K135" s="115">
        <v>241.5416707157317</v>
      </c>
      <c r="L135" s="115">
        <v>231.17225300962619</v>
      </c>
      <c r="M135" s="115">
        <v>220.80283530352071</v>
      </c>
      <c r="N135" s="115">
        <v>210.4334175974152</v>
      </c>
      <c r="O135" s="115">
        <v>200.06399989130972</v>
      </c>
      <c r="P135" s="115">
        <v>189.69458218520421</v>
      </c>
      <c r="Q135" s="115">
        <v>184.86766121963299</v>
      </c>
      <c r="R135" s="115">
        <v>180.0407402540618</v>
      </c>
      <c r="S135" s="115">
        <v>175.21381928849058</v>
      </c>
      <c r="T135" s="115">
        <v>170.38689832291939</v>
      </c>
      <c r="U135" s="115">
        <v>165.55997735734817</v>
      </c>
      <c r="V135" s="115">
        <v>158.58816528932559</v>
      </c>
      <c r="W135" s="115">
        <v>151.616353221303</v>
      </c>
      <c r="X135" s="115">
        <v>144.64454115328039</v>
      </c>
      <c r="Y135" s="115">
        <v>137.6727290852578</v>
      </c>
      <c r="Z135" s="115">
        <v>130.70091701723521</v>
      </c>
      <c r="AA135" s="115">
        <v>128.42642464524369</v>
      </c>
      <c r="AB135" s="115">
        <v>126.15193227325214</v>
      </c>
      <c r="AC135" s="115">
        <v>123.8774399012606</v>
      </c>
      <c r="AD135" s="115">
        <v>121.60294752926907</v>
      </c>
      <c r="AE135" s="115">
        <v>119.32845515727753</v>
      </c>
      <c r="AF135" s="115">
        <v>116.50388161937026</v>
      </c>
      <c r="AG135" s="115">
        <v>113.67930808146299</v>
      </c>
      <c r="AH135" s="115">
        <v>110.85473454355574</v>
      </c>
      <c r="AI135" s="115">
        <v>108.03016100564847</v>
      </c>
      <c r="AJ135" s="115">
        <v>105.2055874677412</v>
      </c>
      <c r="AK135" s="115">
        <v>102.53503399220023</v>
      </c>
      <c r="AL135" s="115">
        <v>99.864480516659256</v>
      </c>
      <c r="AM135" s="115">
        <v>97.193927041118286</v>
      </c>
      <c r="AN135" s="115">
        <v>94.523373565577316</v>
      </c>
      <c r="AO135" s="115">
        <v>91.852820090036346</v>
      </c>
      <c r="AP135" s="115">
        <v>90.521881414977642</v>
      </c>
      <c r="AQ135" s="115">
        <v>89.190942739918952</v>
      </c>
      <c r="AR135" s="115">
        <v>87.860004064860249</v>
      </c>
      <c r="AS135" s="115">
        <v>86.529065389801559</v>
      </c>
      <c r="AT135" s="115">
        <v>85.198126714742855</v>
      </c>
      <c r="AU135" s="115" t="s">
        <v>74</v>
      </c>
    </row>
    <row r="136" spans="2:47">
      <c r="B136" t="s">
        <v>182</v>
      </c>
      <c r="H136" s="115">
        <v>482.8115183765791</v>
      </c>
      <c r="I136" s="115">
        <v>499.4770745047918</v>
      </c>
      <c r="J136" s="115">
        <v>516.1426306330045</v>
      </c>
      <c r="K136" s="115">
        <v>532.80818676121714</v>
      </c>
      <c r="L136" s="115">
        <v>522.66287205421781</v>
      </c>
      <c r="M136" s="115">
        <v>512.51755734721849</v>
      </c>
      <c r="N136" s="115">
        <v>502.3722426402191</v>
      </c>
      <c r="O136" s="115">
        <v>492.22692793321977</v>
      </c>
      <c r="P136" s="115">
        <v>482.08161322622044</v>
      </c>
      <c r="Q136" s="115">
        <v>448.11532376694049</v>
      </c>
      <c r="R136" s="115">
        <v>414.1490343076606</v>
      </c>
      <c r="S136" s="115">
        <v>380.18274484838065</v>
      </c>
      <c r="T136" s="115">
        <v>346.2164553891007</v>
      </c>
      <c r="U136" s="115">
        <v>312.25016592982075</v>
      </c>
      <c r="V136" s="115">
        <v>290.04835769236371</v>
      </c>
      <c r="W136" s="115">
        <v>267.84654945490666</v>
      </c>
      <c r="X136" s="115">
        <v>245.64474121744959</v>
      </c>
      <c r="Y136" s="115">
        <v>223.44293297999252</v>
      </c>
      <c r="Z136" s="115">
        <v>201.24112474253548</v>
      </c>
      <c r="AA136" s="115">
        <v>186.26221894086018</v>
      </c>
      <c r="AB136" s="115">
        <v>171.28331313918488</v>
      </c>
      <c r="AC136" s="115">
        <v>156.30440733750959</v>
      </c>
      <c r="AD136" s="115">
        <v>141.32550153583432</v>
      </c>
      <c r="AE136" s="115">
        <v>126.34659573415902</v>
      </c>
      <c r="AF136" s="115">
        <v>117.13778310875468</v>
      </c>
      <c r="AG136" s="115">
        <v>107.92897048335033</v>
      </c>
      <c r="AH136" s="115">
        <v>98.720157857945964</v>
      </c>
      <c r="AI136" s="115">
        <v>89.511345232541615</v>
      </c>
      <c r="AJ136" s="115">
        <v>80.302532607137266</v>
      </c>
      <c r="AK136" s="115">
        <v>73.343367351897427</v>
      </c>
      <c r="AL136" s="115">
        <v>66.384202096657603</v>
      </c>
      <c r="AM136" s="115">
        <v>59.425036841417764</v>
      </c>
      <c r="AN136" s="115">
        <v>52.465871586177933</v>
      </c>
      <c r="AO136" s="115">
        <v>45.506706330938101</v>
      </c>
      <c r="AP136" s="115">
        <v>42.602741617672599</v>
      </c>
      <c r="AQ136" s="115">
        <v>39.698776904407097</v>
      </c>
      <c r="AR136" s="115">
        <v>36.794812191141602</v>
      </c>
      <c r="AS136" s="115">
        <v>33.890847477876093</v>
      </c>
      <c r="AT136" s="115">
        <v>30.986882764610595</v>
      </c>
      <c r="AU136" s="115" t="s">
        <v>74</v>
      </c>
    </row>
    <row r="171" spans="3:3">
      <c r="C171" s="199" t="s">
        <v>183</v>
      </c>
    </row>
  </sheetData>
  <hyperlinks>
    <hyperlink ref="C171"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Z337"/>
  <sheetViews>
    <sheetView topLeftCell="B1" workbookViewId="0">
      <selection activeCell="B152" sqref="B152"/>
    </sheetView>
  </sheetViews>
  <sheetFormatPr baseColWidth="10" defaultRowHeight="11.25"/>
  <cols>
    <col min="1" max="1" width="5" style="9" customWidth="1"/>
    <col min="2" max="2" width="30.42578125" style="2" bestFit="1" customWidth="1"/>
    <col min="3" max="3" width="10.85546875" style="2" bestFit="1" customWidth="1"/>
    <col min="4" max="4" width="10.42578125" style="2" customWidth="1"/>
    <col min="5" max="40" width="10.42578125" style="2" bestFit="1" customWidth="1"/>
    <col min="41" max="41" width="15" style="2" customWidth="1"/>
    <col min="42" max="51" width="10.42578125" style="2" hidden="1" customWidth="1"/>
    <col min="52" max="52" width="0" style="4" hidden="1" customWidth="1"/>
    <col min="53" max="16384" width="11.42578125" style="2"/>
  </cols>
  <sheetData>
    <row r="1" spans="1:78" ht="21" thickBot="1">
      <c r="B1" s="22" t="s">
        <v>37</v>
      </c>
      <c r="C1" s="25"/>
      <c r="D1" s="24"/>
      <c r="E1" s="24"/>
      <c r="F1" s="24"/>
      <c r="G1" s="24"/>
    </row>
    <row r="2" spans="1:78">
      <c r="A2" s="1"/>
      <c r="B2" s="1" t="s">
        <v>80</v>
      </c>
      <c r="C2" s="3"/>
      <c r="D2" s="3"/>
    </row>
    <row r="3" spans="1:78">
      <c r="A3" s="3"/>
      <c r="B3" s="5" t="s">
        <v>38</v>
      </c>
      <c r="C3" s="3">
        <v>2012</v>
      </c>
      <c r="D3" s="3">
        <v>2013</v>
      </c>
      <c r="E3" s="3">
        <v>2014</v>
      </c>
      <c r="F3" s="6">
        <v>2015</v>
      </c>
      <c r="G3" s="3">
        <v>2016</v>
      </c>
      <c r="H3" s="3">
        <v>2017</v>
      </c>
      <c r="I3" s="3">
        <v>2018</v>
      </c>
      <c r="J3" s="3">
        <v>2019</v>
      </c>
      <c r="K3" s="6">
        <v>2020</v>
      </c>
      <c r="L3" s="3">
        <v>2021</v>
      </c>
      <c r="M3" s="3">
        <v>2022</v>
      </c>
      <c r="N3" s="3">
        <v>2023</v>
      </c>
      <c r="O3" s="3">
        <v>2024</v>
      </c>
      <c r="P3" s="6">
        <v>2025</v>
      </c>
      <c r="Q3" s="3">
        <v>2026</v>
      </c>
      <c r="R3" s="3">
        <v>2027</v>
      </c>
      <c r="S3" s="3">
        <v>2028</v>
      </c>
      <c r="T3" s="3">
        <v>2029</v>
      </c>
      <c r="U3" s="6">
        <v>2030</v>
      </c>
      <c r="V3" s="3">
        <v>2031</v>
      </c>
      <c r="W3" s="3">
        <v>2032</v>
      </c>
      <c r="X3" s="3">
        <v>2033</v>
      </c>
      <c r="Y3" s="3">
        <v>2034</v>
      </c>
      <c r="Z3" s="6">
        <v>2035</v>
      </c>
      <c r="AA3" s="3">
        <v>2036</v>
      </c>
      <c r="AB3" s="3">
        <v>2037</v>
      </c>
      <c r="AC3" s="3">
        <v>2038</v>
      </c>
      <c r="AD3" s="3">
        <v>2039</v>
      </c>
      <c r="AE3" s="6">
        <v>2040</v>
      </c>
      <c r="AF3" s="3">
        <v>2041</v>
      </c>
      <c r="AG3" s="3">
        <v>2042</v>
      </c>
      <c r="AH3" s="3">
        <v>2043</v>
      </c>
      <c r="AI3" s="3">
        <v>2044</v>
      </c>
      <c r="AJ3" s="6">
        <v>2045</v>
      </c>
      <c r="AK3" s="3">
        <v>2046</v>
      </c>
      <c r="AL3" s="3">
        <v>2047</v>
      </c>
      <c r="AM3" s="3">
        <v>2048</v>
      </c>
      <c r="AN3" s="3">
        <v>2049</v>
      </c>
      <c r="AO3" s="6">
        <v>2050</v>
      </c>
      <c r="AP3" s="3"/>
      <c r="AQ3" s="3"/>
      <c r="AR3" s="3"/>
      <c r="AS3" s="3"/>
      <c r="AT3" s="6"/>
      <c r="AU3" s="3"/>
      <c r="AV3" s="3"/>
      <c r="AW3" s="3"/>
      <c r="AX3" s="3"/>
      <c r="AY3" s="6"/>
    </row>
    <row r="4" spans="1:78">
      <c r="A4" s="7"/>
      <c r="B4" s="83" t="s">
        <v>66</v>
      </c>
      <c r="C4" s="8">
        <f>+'Raw data B2DS'!H100*1000000</f>
        <v>19074519.197709586</v>
      </c>
      <c r="D4" s="8">
        <f>+'Raw data B2DS'!I100*1000000</f>
        <v>19161146.781287238</v>
      </c>
      <c r="E4" s="8">
        <f>+'Raw data B2DS'!J100*1000000</f>
        <v>19247774.364864893</v>
      </c>
      <c r="F4" s="8">
        <f>+'Raw data B2DS'!K100*1000000</f>
        <v>19334401.948442545</v>
      </c>
      <c r="G4" s="8">
        <f>+'Raw data B2DS'!L100*1000000</f>
        <v>18935063.113010265</v>
      </c>
      <c r="H4" s="8">
        <f>+'Raw data B2DS'!M100*1000000</f>
        <v>18535724.277577989</v>
      </c>
      <c r="I4" s="8">
        <f>+'Raw data B2DS'!N100*1000000</f>
        <v>18136385.442145705</v>
      </c>
      <c r="J4" s="8">
        <f>+'Raw data B2DS'!O100*1000000</f>
        <v>17737046.606713429</v>
      </c>
      <c r="K4" s="8">
        <f>+'Raw data B2DS'!P100*1000000</f>
        <v>17337707.771281149</v>
      </c>
      <c r="L4" s="8">
        <f>+'Raw data B2DS'!Q100*1000000</f>
        <v>16938368.935848869</v>
      </c>
      <c r="M4" s="8">
        <f>+'Raw data B2DS'!R100*1000000</f>
        <v>16539030.100416593</v>
      </c>
      <c r="N4" s="8">
        <f>+'Raw data B2DS'!S100*1000000</f>
        <v>16139691.264984315</v>
      </c>
      <c r="O4" s="8">
        <f>+'Raw data B2DS'!T100*1000000</f>
        <v>15740352.429552035</v>
      </c>
      <c r="P4" s="8">
        <f>+'Raw data B2DS'!U100*1000000</f>
        <v>15341013.594119757</v>
      </c>
      <c r="Q4" s="8">
        <f>+'Raw data B2DS'!V100*1000000</f>
        <v>14989166.569976803</v>
      </c>
      <c r="R4" s="8">
        <f>+'Raw data B2DS'!W100*1000000</f>
        <v>14637319.545833847</v>
      </c>
      <c r="S4" s="8">
        <f>+'Raw data B2DS'!X100*1000000</f>
        <v>14285472.521690892</v>
      </c>
      <c r="T4" s="8">
        <f>+'Raw data B2DS'!Y100*1000000</f>
        <v>13933625.497547938</v>
      </c>
      <c r="U4" s="8">
        <f>+'Raw data B2DS'!Z100*1000000</f>
        <v>13581778.473404983</v>
      </c>
      <c r="V4" s="8">
        <f>+'Raw data B2DS'!AA100*1000000</f>
        <v>13434036.811335972</v>
      </c>
      <c r="W4" s="8">
        <f>+'Raw data B2DS'!AB100*1000000</f>
        <v>13286295.14926696</v>
      </c>
      <c r="X4" s="8">
        <f>+'Raw data B2DS'!AC100*1000000</f>
        <v>13138553.48719795</v>
      </c>
      <c r="Y4" s="8">
        <f>+'Raw data B2DS'!AD100*1000000</f>
        <v>12990811.825128941</v>
      </c>
      <c r="Z4" s="8">
        <f>+'Raw data B2DS'!AE100*1000000</f>
        <v>12843070.163059929</v>
      </c>
      <c r="AA4" s="8">
        <f>+'Raw data B2DS'!AF100*1000000</f>
        <v>12715706.990895195</v>
      </c>
      <c r="AB4" s="8">
        <f>+'Raw data B2DS'!AG100*1000000</f>
        <v>12588343.818730459</v>
      </c>
      <c r="AC4" s="8">
        <f>+'Raw data B2DS'!AH100*1000000</f>
        <v>12460980.646565722</v>
      </c>
      <c r="AD4" s="8">
        <f>+'Raw data B2DS'!AI100*1000000</f>
        <v>12333617.474400986</v>
      </c>
      <c r="AE4" s="8">
        <f>+'Raw data B2DS'!AJ100*1000000</f>
        <v>12206254.302236252</v>
      </c>
      <c r="AF4" s="8">
        <f>+'Raw data B2DS'!AK100*1000000</f>
        <v>11992225.59060343</v>
      </c>
      <c r="AG4" s="8">
        <f>+'Raw data B2DS'!AL100*1000000</f>
        <v>11778196.87897061</v>
      </c>
      <c r="AH4" s="8">
        <f>+'Raw data B2DS'!AM100*1000000</f>
        <v>11564168.16733779</v>
      </c>
      <c r="AI4" s="8">
        <f>+'Raw data B2DS'!AN100*1000000</f>
        <v>11350139.455704968</v>
      </c>
      <c r="AJ4" s="8">
        <f>+'Raw data B2DS'!AO100*1000000</f>
        <v>11136110.744072149</v>
      </c>
      <c r="AK4" s="8">
        <f>+'Raw data B2DS'!AP100*1000000</f>
        <v>10925473.497931808</v>
      </c>
      <c r="AL4" s="8">
        <f>+'Raw data B2DS'!AQ100*1000000</f>
        <v>10714836.251791468</v>
      </c>
      <c r="AM4" s="8">
        <f>+'Raw data B2DS'!AR100*1000000</f>
        <v>10504199.005651129</v>
      </c>
      <c r="AN4" s="8">
        <f>+'Raw data B2DS'!AS100*1000000</f>
        <v>10293561.759510789</v>
      </c>
      <c r="AO4" s="8">
        <f>+'Raw data B2DS'!AT100*1000000</f>
        <v>10082924.513370449</v>
      </c>
      <c r="AP4" s="8"/>
      <c r="AQ4" s="8"/>
      <c r="AR4" s="8"/>
      <c r="AS4" s="8"/>
      <c r="AT4" s="8"/>
      <c r="AU4" s="8"/>
      <c r="AV4" s="8"/>
      <c r="AW4" s="8"/>
      <c r="AX4" s="8"/>
      <c r="AY4" s="8"/>
      <c r="AZ4" s="84"/>
      <c r="BA4" s="8"/>
      <c r="BB4" s="8"/>
      <c r="BC4" s="8"/>
      <c r="BD4" s="8"/>
      <c r="BE4" s="8"/>
      <c r="BF4" s="8"/>
      <c r="BG4" s="8"/>
      <c r="BH4" s="8"/>
      <c r="BI4" s="8"/>
      <c r="BJ4" s="8"/>
      <c r="BK4" s="8"/>
      <c r="BL4" s="8"/>
      <c r="BM4" s="8"/>
      <c r="BN4" s="8"/>
      <c r="BO4" s="8"/>
      <c r="BP4" s="8"/>
      <c r="BQ4" s="8"/>
      <c r="BR4" s="8"/>
      <c r="BS4" s="8"/>
      <c r="BT4" s="8"/>
      <c r="BU4" s="8"/>
      <c r="BV4" s="8"/>
      <c r="BW4" s="8"/>
      <c r="BX4" s="8"/>
      <c r="BY4" s="8"/>
      <c r="BZ4" s="8"/>
    </row>
    <row r="5" spans="1:78">
      <c r="A5" s="7"/>
      <c r="B5" s="83"/>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4"/>
      <c r="BA5" s="8"/>
      <c r="BB5" s="8"/>
      <c r="BC5" s="8"/>
      <c r="BD5" s="8"/>
      <c r="BE5" s="8"/>
      <c r="BF5" s="8"/>
      <c r="BG5" s="8"/>
      <c r="BH5" s="8"/>
      <c r="BI5" s="8"/>
      <c r="BJ5" s="8"/>
      <c r="BK5" s="8"/>
      <c r="BL5" s="8"/>
      <c r="BM5" s="8"/>
      <c r="BN5" s="8"/>
      <c r="BO5" s="8"/>
      <c r="BP5" s="8"/>
      <c r="BQ5" s="8"/>
      <c r="BR5" s="8"/>
      <c r="BS5" s="8"/>
      <c r="BT5" s="8"/>
      <c r="BU5" s="8"/>
      <c r="BV5" s="8"/>
      <c r="BW5" s="8"/>
      <c r="BX5" s="8"/>
      <c r="BY5" s="8"/>
      <c r="BZ5" s="8"/>
    </row>
    <row r="6" spans="1:78">
      <c r="A6" s="7"/>
      <c r="B6" s="83"/>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4"/>
      <c r="BA6" s="8"/>
      <c r="BB6" s="8"/>
      <c r="BC6" s="8"/>
      <c r="BD6" s="8"/>
      <c r="BE6" s="8"/>
      <c r="BF6" s="8"/>
      <c r="BG6" s="8"/>
      <c r="BH6" s="8"/>
      <c r="BI6" s="8"/>
      <c r="BJ6" s="8"/>
      <c r="BK6" s="8"/>
      <c r="BL6" s="8"/>
      <c r="BM6" s="8"/>
      <c r="BN6" s="8"/>
      <c r="BO6" s="8"/>
      <c r="BP6" s="8"/>
      <c r="BQ6" s="8"/>
      <c r="BR6" s="8"/>
      <c r="BS6" s="8"/>
      <c r="BT6" s="8"/>
      <c r="BU6" s="8"/>
      <c r="BV6" s="8"/>
      <c r="BW6" s="8"/>
      <c r="BX6" s="8"/>
      <c r="BY6" s="8"/>
      <c r="BZ6" s="8"/>
    </row>
    <row r="7" spans="1:78">
      <c r="A7" s="7"/>
      <c r="B7" s="83"/>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4"/>
      <c r="BA7" s="8"/>
      <c r="BB7" s="8"/>
      <c r="BC7" s="8"/>
      <c r="BD7" s="8"/>
      <c r="BE7" s="8"/>
      <c r="BF7" s="8"/>
      <c r="BG7" s="8"/>
      <c r="BH7" s="8"/>
      <c r="BI7" s="8"/>
      <c r="BJ7" s="8"/>
      <c r="BK7" s="8"/>
      <c r="BL7" s="8"/>
      <c r="BM7" s="8"/>
      <c r="BN7" s="8"/>
      <c r="BO7" s="8"/>
      <c r="BP7" s="8"/>
      <c r="BQ7" s="8"/>
      <c r="BR7" s="8"/>
      <c r="BS7" s="8"/>
      <c r="BT7" s="8"/>
      <c r="BU7" s="8"/>
      <c r="BV7" s="8"/>
      <c r="BW7" s="8"/>
      <c r="BX7" s="8"/>
      <c r="BY7" s="8"/>
      <c r="BZ7" s="8"/>
    </row>
    <row r="8" spans="1:78">
      <c r="A8" s="7"/>
      <c r="B8" s="83"/>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4"/>
      <c r="BA8" s="8"/>
      <c r="BB8" s="8"/>
      <c r="BC8" s="8"/>
      <c r="BD8" s="8"/>
      <c r="BE8" s="8"/>
      <c r="BF8" s="8"/>
      <c r="BG8" s="8"/>
      <c r="BH8" s="8"/>
      <c r="BI8" s="8"/>
      <c r="BJ8" s="8"/>
      <c r="BK8" s="8"/>
      <c r="BL8" s="8"/>
      <c r="BM8" s="8"/>
      <c r="BN8" s="8"/>
      <c r="BO8" s="8"/>
      <c r="BP8" s="8"/>
      <c r="BQ8" s="8"/>
      <c r="BR8" s="8"/>
      <c r="BS8" s="8"/>
      <c r="BT8" s="8"/>
      <c r="BU8" s="8"/>
      <c r="BV8" s="8"/>
      <c r="BW8" s="8"/>
      <c r="BX8" s="8"/>
      <c r="BY8" s="8"/>
      <c r="BZ8" s="8"/>
    </row>
    <row r="9" spans="1:78">
      <c r="A9" s="7"/>
      <c r="B9" s="83"/>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4"/>
      <c r="BA9" s="8"/>
      <c r="BB9" s="8"/>
      <c r="BC9" s="8"/>
      <c r="BD9" s="8"/>
      <c r="BE9" s="8"/>
      <c r="BF9" s="8"/>
      <c r="BG9" s="8"/>
      <c r="BH9" s="8"/>
      <c r="BI9" s="8"/>
      <c r="BJ9" s="8"/>
      <c r="BK9" s="8"/>
      <c r="BL9" s="8"/>
      <c r="BM9" s="8"/>
      <c r="BN9" s="8"/>
      <c r="BO9" s="8"/>
      <c r="BP9" s="8"/>
      <c r="BQ9" s="8"/>
      <c r="BR9" s="8"/>
      <c r="BS9" s="8"/>
      <c r="BT9" s="8"/>
      <c r="BU9" s="8"/>
      <c r="BV9" s="8"/>
      <c r="BW9" s="8"/>
      <c r="BX9" s="8"/>
      <c r="BY9" s="8"/>
      <c r="BZ9" s="8"/>
    </row>
    <row r="10" spans="1:78">
      <c r="A10" s="7"/>
      <c r="B10" s="83"/>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4"/>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row>
    <row r="11" spans="1:78">
      <c r="A11" s="7"/>
      <c r="B11" s="83"/>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4"/>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row>
    <row r="12" spans="1:78">
      <c r="A12" s="7"/>
      <c r="B12" s="83"/>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4"/>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row>
    <row r="13" spans="1:78">
      <c r="A13" s="7"/>
      <c r="B13" s="83"/>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4"/>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row>
    <row r="14" spans="1:78">
      <c r="A14" s="7"/>
      <c r="B14" s="83"/>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4"/>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row>
    <row r="15" spans="1:78">
      <c r="A15" s="7"/>
      <c r="B15" s="83"/>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4"/>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row>
    <row r="16" spans="1:78">
      <c r="A16" s="7"/>
      <c r="B16" s="83"/>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4"/>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row>
    <row r="17" spans="1:78">
      <c r="A17" s="7"/>
      <c r="B17" s="83"/>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4"/>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row>
    <row r="18" spans="1:78">
      <c r="B18" s="83"/>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4"/>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row>
    <row r="19" spans="1:78">
      <c r="B19" s="83"/>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4"/>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row>
    <row r="20" spans="1:78">
      <c r="B20" s="83"/>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4"/>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row>
    <row r="21" spans="1:78">
      <c r="B21" s="83"/>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4"/>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row>
    <row r="22" spans="1:78">
      <c r="B22" s="83"/>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6"/>
      <c r="BA22" s="87"/>
      <c r="BB22" s="8"/>
      <c r="BC22" s="8"/>
      <c r="BD22" s="8"/>
      <c r="BE22" s="8"/>
      <c r="BF22" s="8"/>
      <c r="BG22" s="8"/>
      <c r="BH22" s="8"/>
      <c r="BI22" s="8"/>
      <c r="BJ22" s="8"/>
      <c r="BK22" s="8"/>
      <c r="BL22" s="8"/>
      <c r="BM22" s="8"/>
      <c r="BN22" s="8"/>
      <c r="BO22" s="8"/>
      <c r="BP22" s="8"/>
      <c r="BQ22" s="8"/>
      <c r="BR22" s="8"/>
      <c r="BS22" s="8"/>
      <c r="BT22" s="8"/>
      <c r="BU22" s="8"/>
      <c r="BV22" s="8"/>
      <c r="BW22" s="8"/>
      <c r="BX22" s="8"/>
      <c r="BY22" s="8"/>
      <c r="BZ22" s="8"/>
    </row>
    <row r="23" spans="1:78">
      <c r="A23" s="1"/>
      <c r="B23" s="83"/>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6"/>
      <c r="BA23" s="87"/>
      <c r="BB23" s="8"/>
      <c r="BC23" s="8"/>
      <c r="BD23" s="8"/>
      <c r="BE23" s="8"/>
      <c r="BF23" s="8"/>
      <c r="BG23" s="8"/>
      <c r="BH23" s="8"/>
      <c r="BI23" s="8"/>
      <c r="BJ23" s="8"/>
      <c r="BK23" s="8"/>
      <c r="BL23" s="8"/>
      <c r="BM23" s="8"/>
      <c r="BN23" s="8"/>
      <c r="BO23" s="8"/>
      <c r="BP23" s="8"/>
      <c r="BQ23" s="8"/>
      <c r="BR23" s="8"/>
      <c r="BS23" s="8"/>
      <c r="BT23" s="8"/>
      <c r="BU23" s="8"/>
      <c r="BV23" s="8"/>
      <c r="BW23" s="8"/>
      <c r="BX23" s="8"/>
      <c r="BY23" s="8"/>
      <c r="BZ23" s="8"/>
    </row>
    <row r="24" spans="1:78">
      <c r="A24" s="3"/>
      <c r="B24" s="83"/>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6"/>
      <c r="BA24" s="87"/>
    </row>
    <row r="25" spans="1:78">
      <c r="A25" s="7"/>
      <c r="B25" s="8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6"/>
      <c r="BA25" s="87"/>
      <c r="BB25" s="8"/>
      <c r="BC25" s="8"/>
      <c r="BD25" s="8"/>
      <c r="BE25" s="8"/>
      <c r="BF25" s="8"/>
      <c r="BG25" s="8"/>
      <c r="BH25" s="8"/>
      <c r="BI25" s="8"/>
      <c r="BJ25" s="8"/>
      <c r="BK25" s="8"/>
      <c r="BL25" s="8"/>
      <c r="BM25" s="8"/>
      <c r="BN25" s="8"/>
      <c r="BO25" s="8"/>
      <c r="BP25" s="8"/>
      <c r="BQ25" s="8"/>
      <c r="BR25" s="8"/>
      <c r="BS25" s="8"/>
      <c r="BT25" s="8"/>
      <c r="BU25" s="8"/>
      <c r="BV25" s="8"/>
      <c r="BW25" s="8"/>
      <c r="BX25" s="8"/>
      <c r="BY25" s="8"/>
      <c r="BZ25" s="8"/>
    </row>
    <row r="26" spans="1:78">
      <c r="A26" s="7"/>
      <c r="B26" s="84"/>
      <c r="C26" s="87"/>
      <c r="D26" s="87"/>
      <c r="E26" s="87"/>
      <c r="F26" s="8"/>
      <c r="G26" s="87"/>
      <c r="H26" s="87"/>
      <c r="I26" s="87"/>
      <c r="J26" s="87"/>
      <c r="K26" s="8"/>
      <c r="L26" s="87"/>
      <c r="M26" s="87"/>
      <c r="N26" s="87"/>
      <c r="O26" s="87"/>
      <c r="P26" s="8"/>
      <c r="Q26" s="87"/>
      <c r="R26" s="87"/>
      <c r="S26" s="87"/>
      <c r="T26" s="87"/>
      <c r="U26" s="8"/>
      <c r="V26" s="87"/>
      <c r="W26" s="87"/>
      <c r="X26" s="87"/>
      <c r="Y26" s="87"/>
      <c r="Z26" s="8"/>
      <c r="AA26" s="87"/>
      <c r="AB26" s="87"/>
      <c r="AC26" s="87"/>
      <c r="AD26" s="87"/>
      <c r="AE26" s="8"/>
      <c r="AF26" s="87"/>
      <c r="AG26" s="87"/>
      <c r="AH26" s="87"/>
      <c r="AI26" s="87"/>
      <c r="AJ26" s="8"/>
      <c r="AK26" s="87"/>
      <c r="AL26" s="87"/>
      <c r="AM26" s="87"/>
      <c r="AN26" s="87"/>
      <c r="AO26" s="8"/>
      <c r="AP26" s="87"/>
      <c r="AQ26" s="87"/>
      <c r="AR26" s="87"/>
      <c r="AS26" s="87"/>
      <c r="AT26" s="8"/>
      <c r="AU26" s="87"/>
      <c r="AV26" s="87"/>
      <c r="AW26" s="87"/>
      <c r="AX26" s="87"/>
      <c r="AY26" s="8"/>
      <c r="AZ26" s="86"/>
      <c r="BA26" s="87"/>
      <c r="BB26" s="8"/>
      <c r="BC26" s="8"/>
      <c r="BD26" s="8"/>
      <c r="BE26" s="8"/>
      <c r="BF26" s="8"/>
      <c r="BG26" s="8"/>
      <c r="BH26" s="8"/>
      <c r="BI26" s="8"/>
      <c r="BJ26" s="8"/>
      <c r="BK26" s="8"/>
      <c r="BL26" s="8"/>
      <c r="BM26" s="8"/>
      <c r="BN26" s="8"/>
      <c r="BO26" s="8"/>
      <c r="BP26" s="8"/>
      <c r="BQ26" s="8"/>
      <c r="BR26" s="8"/>
      <c r="BS26" s="8"/>
      <c r="BT26" s="8"/>
      <c r="BU26" s="8"/>
      <c r="BV26" s="8"/>
      <c r="BW26" s="8"/>
      <c r="BX26" s="8"/>
      <c r="BY26" s="8"/>
      <c r="BZ26" s="8"/>
    </row>
    <row r="27" spans="1:78">
      <c r="A27" s="7"/>
      <c r="B27" s="1" t="s">
        <v>68</v>
      </c>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10"/>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row>
    <row r="28" spans="1:78">
      <c r="A28" s="7"/>
      <c r="B28" s="5" t="s">
        <v>38</v>
      </c>
      <c r="C28" s="3">
        <v>2012</v>
      </c>
      <c r="D28" s="3">
        <v>2013</v>
      </c>
      <c r="E28" s="3">
        <v>2014</v>
      </c>
      <c r="F28" s="6">
        <v>2015</v>
      </c>
      <c r="G28" s="3">
        <v>2016</v>
      </c>
      <c r="H28" s="3">
        <v>2017</v>
      </c>
      <c r="I28" s="3">
        <v>2018</v>
      </c>
      <c r="J28" s="3">
        <v>2019</v>
      </c>
      <c r="K28" s="6">
        <v>2020</v>
      </c>
      <c r="L28" s="3">
        <v>2021</v>
      </c>
      <c r="M28" s="3">
        <v>2022</v>
      </c>
      <c r="N28" s="3">
        <v>2023</v>
      </c>
      <c r="O28" s="3">
        <v>2024</v>
      </c>
      <c r="P28" s="6">
        <v>2025</v>
      </c>
      <c r="Q28" s="3">
        <v>2026</v>
      </c>
      <c r="R28" s="3">
        <v>2027</v>
      </c>
      <c r="S28" s="3">
        <v>2028</v>
      </c>
      <c r="T28" s="3">
        <v>2029</v>
      </c>
      <c r="U28" s="6">
        <v>2030</v>
      </c>
      <c r="V28" s="3">
        <v>2031</v>
      </c>
      <c r="W28" s="3">
        <v>2032</v>
      </c>
      <c r="X28" s="3">
        <v>2033</v>
      </c>
      <c r="Y28" s="3">
        <v>2034</v>
      </c>
      <c r="Z28" s="6">
        <v>2035</v>
      </c>
      <c r="AA28" s="3">
        <v>2036</v>
      </c>
      <c r="AB28" s="3">
        <v>2037</v>
      </c>
      <c r="AC28" s="3">
        <v>2038</v>
      </c>
      <c r="AD28" s="3">
        <v>2039</v>
      </c>
      <c r="AE28" s="6">
        <v>2040</v>
      </c>
      <c r="AF28" s="3">
        <v>2041</v>
      </c>
      <c r="AG28" s="3">
        <v>2042</v>
      </c>
      <c r="AH28" s="3">
        <v>2043</v>
      </c>
      <c r="AI28" s="3">
        <v>2044</v>
      </c>
      <c r="AJ28" s="6">
        <v>2045</v>
      </c>
      <c r="AK28" s="3">
        <v>2046</v>
      </c>
      <c r="AL28" s="3">
        <v>2047</v>
      </c>
      <c r="AM28" s="3">
        <v>2048</v>
      </c>
      <c r="AN28" s="3">
        <v>2049</v>
      </c>
      <c r="AO28" s="6">
        <v>2050</v>
      </c>
      <c r="AP28" s="3"/>
      <c r="AQ28" s="3"/>
      <c r="AR28" s="3"/>
      <c r="AS28" s="3"/>
      <c r="AT28" s="6"/>
      <c r="AU28" s="3"/>
      <c r="AV28" s="3"/>
      <c r="AW28" s="3"/>
      <c r="AX28" s="3"/>
      <c r="AY28" s="6"/>
      <c r="BB28" s="8"/>
      <c r="BC28" s="8"/>
      <c r="BD28" s="8"/>
      <c r="BE28" s="8"/>
      <c r="BF28" s="8"/>
      <c r="BG28" s="8"/>
      <c r="BH28" s="8"/>
      <c r="BI28" s="8"/>
      <c r="BJ28" s="8"/>
      <c r="BK28" s="8"/>
      <c r="BL28" s="8"/>
      <c r="BM28" s="8"/>
      <c r="BN28" s="8"/>
      <c r="BO28" s="8"/>
      <c r="BP28" s="8"/>
      <c r="BQ28" s="8"/>
      <c r="BR28" s="8"/>
      <c r="BS28" s="8"/>
      <c r="BT28" s="8"/>
      <c r="BU28" s="8"/>
      <c r="BV28" s="8"/>
      <c r="BW28" s="8"/>
      <c r="BX28" s="8"/>
      <c r="BY28" s="8"/>
      <c r="BZ28" s="8"/>
    </row>
    <row r="29" spans="1:78">
      <c r="A29" s="7"/>
      <c r="B29" s="83" t="s">
        <v>66</v>
      </c>
      <c r="C29" s="198">
        <f>+'Raw data B2DS'!H98*1000000</f>
        <v>69717355.17873551</v>
      </c>
      <c r="D29" s="198">
        <f>+'Raw data B2DS'!I98*1000000</f>
        <v>73160177.961372107</v>
      </c>
      <c r="E29" s="198">
        <f>+'Raw data B2DS'!J98*1000000</f>
        <v>76603000.744008735</v>
      </c>
      <c r="F29" s="198">
        <f>+'Raw data B2DS'!K98*1000000</f>
        <v>80045823.526645362</v>
      </c>
      <c r="G29" s="198">
        <f>+'Raw data B2DS'!L98*1000000</f>
        <v>80939317.139371559</v>
      </c>
      <c r="H29" s="198">
        <f>+'Raw data B2DS'!M98*1000000</f>
        <v>81832810.752097756</v>
      </c>
      <c r="I29" s="198">
        <f>+'Raw data B2DS'!N98*1000000</f>
        <v>82726304.364823952</v>
      </c>
      <c r="J29" s="198">
        <f>+'Raw data B2DS'!O98*1000000</f>
        <v>83619797.977550149</v>
      </c>
      <c r="K29" s="198">
        <f>+'Raw data B2DS'!P98*1000000</f>
        <v>84513291.590276346</v>
      </c>
      <c r="L29" s="198">
        <f>+'Raw data B2DS'!Q98*1000000</f>
        <v>84249425.322935015</v>
      </c>
      <c r="M29" s="198">
        <f>+'Raw data B2DS'!R98*1000000</f>
        <v>83985559.055593669</v>
      </c>
      <c r="N29" s="198">
        <f>+'Raw data B2DS'!S98*1000000</f>
        <v>83721692.788252339</v>
      </c>
      <c r="O29" s="198">
        <f>+'Raw data B2DS'!T98*1000000</f>
        <v>83457826.520910993</v>
      </c>
      <c r="P29" s="198">
        <f>+'Raw data B2DS'!U98*1000000</f>
        <v>83193960.253569677</v>
      </c>
      <c r="Q29" s="198">
        <f>+'Raw data B2DS'!V98*1000000</f>
        <v>86262045.472681642</v>
      </c>
      <c r="R29" s="198">
        <f>+'Raw data B2DS'!W98*1000000</f>
        <v>89330130.691793621</v>
      </c>
      <c r="S29" s="198">
        <f>+'Raw data B2DS'!X98*1000000</f>
        <v>92398215.9109056</v>
      </c>
      <c r="T29" s="198">
        <f>+'Raw data B2DS'!Y98*1000000</f>
        <v>95466301.130017579</v>
      </c>
      <c r="U29" s="198">
        <f>+'Raw data B2DS'!Z98*1000000</f>
        <v>98534386.349129558</v>
      </c>
      <c r="V29" s="198">
        <f>+'Raw data B2DS'!AA98*1000000</f>
        <v>98803678.637880221</v>
      </c>
      <c r="W29" s="198">
        <f>+'Raw data B2DS'!AB98*1000000</f>
        <v>99072970.926630884</v>
      </c>
      <c r="X29" s="198">
        <f>+'Raw data B2DS'!AC98*1000000</f>
        <v>99342263.215381533</v>
      </c>
      <c r="Y29" s="198">
        <f>+'Raw data B2DS'!AD98*1000000</f>
        <v>99611555.504132196</v>
      </c>
      <c r="Z29" s="198">
        <f>+'Raw data B2DS'!AE98*1000000</f>
        <v>99880847.79288286</v>
      </c>
      <c r="AA29" s="198">
        <f>+'Raw data B2DS'!AF98*1000000</f>
        <v>101016618.40518573</v>
      </c>
      <c r="AB29" s="198">
        <f>+'Raw data B2DS'!AG98*1000000</f>
        <v>102152389.01748858</v>
      </c>
      <c r="AC29" s="198">
        <f>+'Raw data B2DS'!AH98*1000000</f>
        <v>103288159.62979147</v>
      </c>
      <c r="AD29" s="198">
        <f>+'Raw data B2DS'!AI98*1000000</f>
        <v>104423930.24209432</v>
      </c>
      <c r="AE29" s="198">
        <f>+'Raw data B2DS'!AJ98*1000000</f>
        <v>105559700.85439719</v>
      </c>
      <c r="AF29" s="198">
        <f>+'Raw data B2DS'!AK98*1000000</f>
        <v>108838630.80520263</v>
      </c>
      <c r="AG29" s="198">
        <f>+'Raw data B2DS'!AL98*1000000</f>
        <v>112117560.75600806</v>
      </c>
      <c r="AH29" s="198">
        <f>+'Raw data B2DS'!AM98*1000000</f>
        <v>115396490.7068135</v>
      </c>
      <c r="AI29" s="198">
        <f>+'Raw data B2DS'!AN98*1000000</f>
        <v>118675420.65761892</v>
      </c>
      <c r="AJ29" s="198">
        <f>+'Raw data B2DS'!AO98*1000000</f>
        <v>121954350.60842437</v>
      </c>
      <c r="AK29" s="198">
        <f>+'Raw data B2DS'!AP98*1000000</f>
        <v>122190561.56254996</v>
      </c>
      <c r="AL29" s="198">
        <f>+'Raw data B2DS'!AQ98*1000000</f>
        <v>122426772.51667558</v>
      </c>
      <c r="AM29" s="198">
        <f>+'Raw data B2DS'!AR98*1000000</f>
        <v>122662983.47080116</v>
      </c>
      <c r="AN29" s="198">
        <f>+'Raw data B2DS'!AS98*1000000</f>
        <v>122899194.42492677</v>
      </c>
      <c r="AO29" s="198">
        <f>+'Raw data B2DS'!AT98*1000000</f>
        <v>123135405.37905237</v>
      </c>
      <c r="AP29" s="8"/>
      <c r="AQ29" s="8"/>
      <c r="AR29" s="8"/>
      <c r="AS29" s="8"/>
      <c r="AT29" s="8"/>
      <c r="AU29" s="8"/>
      <c r="AV29" s="8"/>
      <c r="AW29" s="8"/>
      <c r="AX29" s="8"/>
      <c r="AY29" s="8"/>
      <c r="AZ29" s="2"/>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row>
    <row r="30" spans="1:78">
      <c r="A30" s="7"/>
      <c r="B30" s="83"/>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2"/>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row>
    <row r="31" spans="1:78">
      <c r="A31" s="7"/>
      <c r="B31" s="8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2"/>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row>
    <row r="32" spans="1:78">
      <c r="A32" s="7"/>
      <c r="B32" s="83"/>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2"/>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row>
    <row r="33" spans="1:78">
      <c r="A33" s="7"/>
      <c r="B33" s="83"/>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2"/>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row>
    <row r="34" spans="1:78">
      <c r="A34" s="7"/>
      <c r="B34" s="83"/>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2"/>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row>
    <row r="35" spans="1:78">
      <c r="A35" s="7"/>
      <c r="B35" s="83"/>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2"/>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row>
    <row r="36" spans="1:78">
      <c r="A36" s="7"/>
      <c r="B36" s="83"/>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2"/>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row>
    <row r="37" spans="1:78">
      <c r="A37" s="7"/>
      <c r="B37" s="83"/>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2"/>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row>
    <row r="38" spans="1:78">
      <c r="A38" s="7"/>
      <c r="B38" s="83"/>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2"/>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row>
    <row r="39" spans="1:78">
      <c r="A39" s="7"/>
      <c r="B39" s="83"/>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4"/>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row>
    <row r="40" spans="1:78">
      <c r="A40" s="7"/>
      <c r="B40" s="83"/>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4"/>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row>
    <row r="41" spans="1:78">
      <c r="A41" s="7"/>
      <c r="B41" s="83"/>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4"/>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row>
    <row r="42" spans="1:78">
      <c r="A42" s="7"/>
      <c r="B42" s="83"/>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4"/>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row>
    <row r="43" spans="1:78">
      <c r="B43" s="83"/>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4"/>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row>
    <row r="44" spans="1:78">
      <c r="A44" s="1"/>
      <c r="B44" s="83"/>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4"/>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row>
    <row r="45" spans="1:78">
      <c r="A45" s="3"/>
      <c r="B45" s="83"/>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4"/>
      <c r="BA45" s="8"/>
    </row>
    <row r="46" spans="1:78">
      <c r="A46" s="7"/>
      <c r="B46" s="83"/>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4"/>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row>
    <row r="47" spans="1:78">
      <c r="A47" s="7"/>
      <c r="B47" s="83"/>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2"/>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row>
    <row r="48" spans="1:78">
      <c r="A48" s="7"/>
      <c r="B48" s="83"/>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2"/>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row>
    <row r="49" spans="1:78">
      <c r="A49" s="7"/>
      <c r="B49" s="83"/>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2"/>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row>
    <row r="50" spans="1:78">
      <c r="A50" s="7"/>
      <c r="B50" s="83"/>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2"/>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row>
    <row r="51" spans="1:78">
      <c r="A51" s="7"/>
      <c r="C51" s="8"/>
      <c r="D51" s="8"/>
      <c r="E51" s="8"/>
      <c r="F51" s="8"/>
      <c r="G51" s="8"/>
      <c r="H51" s="8"/>
      <c r="I51" s="8"/>
      <c r="J51" s="8"/>
      <c r="K51" s="8"/>
      <c r="L51" s="8"/>
      <c r="M51" s="8"/>
      <c r="N51" s="8"/>
      <c r="O51" s="8"/>
      <c r="P51" s="8"/>
      <c r="Q51" s="8"/>
      <c r="R51" s="8"/>
      <c r="S51" s="8"/>
      <c r="T51" s="8"/>
      <c r="U51" s="8"/>
      <c r="V51" s="8"/>
      <c r="W51" s="8"/>
      <c r="X51" s="8"/>
      <c r="Y51" s="8"/>
      <c r="Z51" s="8"/>
      <c r="AE51" s="8"/>
      <c r="AF51" s="8"/>
      <c r="AG51" s="8"/>
      <c r="AH51" s="8"/>
      <c r="AI51" s="8"/>
      <c r="AJ51" s="8"/>
      <c r="AK51" s="8"/>
      <c r="AL51" s="8"/>
      <c r="AM51" s="8"/>
      <c r="AN51" s="8"/>
      <c r="AO51" s="8"/>
      <c r="AP51" s="8"/>
      <c r="AQ51" s="8"/>
      <c r="AR51" s="8"/>
      <c r="AS51" s="8"/>
      <c r="AT51" s="8"/>
      <c r="AU51" s="8"/>
      <c r="AV51" s="8"/>
      <c r="AW51" s="8"/>
      <c r="AX51" s="8"/>
      <c r="AY51" s="8"/>
      <c r="AZ51" s="10"/>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row>
    <row r="52" spans="1:78">
      <c r="A52" s="7"/>
      <c r="B52" s="1" t="s">
        <v>69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10"/>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row>
    <row r="53" spans="1:78">
      <c r="A53" s="7"/>
      <c r="B53" s="5" t="s">
        <v>38</v>
      </c>
      <c r="C53" s="3">
        <v>2012</v>
      </c>
      <c r="D53" s="3">
        <v>2013</v>
      </c>
      <c r="E53" s="3">
        <v>2014</v>
      </c>
      <c r="F53" s="6">
        <v>2015</v>
      </c>
      <c r="G53" s="3">
        <v>2016</v>
      </c>
      <c r="H53" s="3">
        <v>2017</v>
      </c>
      <c r="I53" s="3">
        <v>2018</v>
      </c>
      <c r="J53" s="3">
        <v>2019</v>
      </c>
      <c r="K53" s="6">
        <v>2020</v>
      </c>
      <c r="L53" s="3">
        <v>2021</v>
      </c>
      <c r="M53" s="3">
        <v>2022</v>
      </c>
      <c r="N53" s="3">
        <v>2023</v>
      </c>
      <c r="O53" s="3">
        <v>2024</v>
      </c>
      <c r="P53" s="6">
        <v>2025</v>
      </c>
      <c r="Q53" s="3">
        <v>2026</v>
      </c>
      <c r="R53" s="3">
        <v>2027</v>
      </c>
      <c r="S53" s="3">
        <v>2028</v>
      </c>
      <c r="T53" s="3">
        <v>2029</v>
      </c>
      <c r="U53" s="6">
        <v>2030</v>
      </c>
      <c r="V53" s="3">
        <v>2031</v>
      </c>
      <c r="W53" s="3">
        <v>2032</v>
      </c>
      <c r="X53" s="3">
        <v>2033</v>
      </c>
      <c r="Y53" s="3">
        <v>2034</v>
      </c>
      <c r="Z53" s="6">
        <v>2035</v>
      </c>
      <c r="AA53" s="3">
        <v>2036</v>
      </c>
      <c r="AB53" s="3">
        <v>2037</v>
      </c>
      <c r="AC53" s="3">
        <v>2038</v>
      </c>
      <c r="AD53" s="3">
        <v>2039</v>
      </c>
      <c r="AE53" s="6">
        <v>2040</v>
      </c>
      <c r="AF53" s="3">
        <v>2041</v>
      </c>
      <c r="AG53" s="3">
        <v>2042</v>
      </c>
      <c r="AH53" s="3">
        <v>2043</v>
      </c>
      <c r="AI53" s="3">
        <v>2044</v>
      </c>
      <c r="AJ53" s="6">
        <v>2045</v>
      </c>
      <c r="AK53" s="3">
        <v>2046</v>
      </c>
      <c r="AL53" s="3">
        <v>2047</v>
      </c>
      <c r="AM53" s="3">
        <v>2048</v>
      </c>
      <c r="AN53" s="3">
        <v>2049</v>
      </c>
      <c r="AO53" s="6">
        <v>2050</v>
      </c>
      <c r="AP53" s="3"/>
      <c r="AQ53" s="3"/>
      <c r="AR53" s="3"/>
      <c r="AS53" s="3"/>
      <c r="AT53" s="6"/>
      <c r="AU53" s="3"/>
      <c r="AV53" s="3"/>
      <c r="AW53" s="3"/>
      <c r="AX53" s="3"/>
      <c r="AY53" s="6"/>
      <c r="BB53" s="8"/>
      <c r="BC53" s="8"/>
      <c r="BD53" s="8"/>
      <c r="BE53" s="8"/>
      <c r="BF53" s="8"/>
      <c r="BG53" s="8"/>
      <c r="BH53" s="8"/>
      <c r="BI53" s="8"/>
      <c r="BJ53" s="8"/>
      <c r="BK53" s="8"/>
      <c r="BL53" s="8"/>
      <c r="BM53" s="8"/>
      <c r="BN53" s="8"/>
      <c r="BO53" s="8"/>
      <c r="BP53" s="8"/>
      <c r="BQ53" s="8"/>
      <c r="BR53" s="8"/>
      <c r="BS53" s="8"/>
      <c r="BT53" s="8"/>
      <c r="BU53" s="8"/>
      <c r="BV53" s="8"/>
      <c r="BW53" s="8"/>
      <c r="BX53" s="8"/>
      <c r="BY53" s="8"/>
      <c r="BZ53" s="8"/>
    </row>
    <row r="54" spans="1:78">
      <c r="A54" s="7"/>
      <c r="B54" s="83" t="s">
        <v>66</v>
      </c>
      <c r="C54" s="11">
        <f>+'Raw data B2DS'!H102</f>
        <v>273.59786022874698</v>
      </c>
      <c r="D54" s="11">
        <f>+'Raw data B2DS'!I102</f>
        <v>261.90678201198671</v>
      </c>
      <c r="E54" s="11">
        <f>+'Raw data B2DS'!J102</f>
        <v>251.26658457136608</v>
      </c>
      <c r="F54" s="11">
        <f>+'Raw data B2DS'!K102</f>
        <v>241.54167071573167</v>
      </c>
      <c r="G54" s="11">
        <f>+'Raw data B2DS'!L102</f>
        <v>233.94147346715911</v>
      </c>
      <c r="H54" s="11">
        <f>+'Raw data B2DS'!M102</f>
        <v>226.50724211013159</v>
      </c>
      <c r="I54" s="11">
        <f>+'Raw data B2DS'!N102</f>
        <v>219.23359905168783</v>
      </c>
      <c r="J54" s="11">
        <f>+'Raw data B2DS'!O102</f>
        <v>212.11539654132369</v>
      </c>
      <c r="K54" s="11">
        <f>+'Raw data B2DS'!P102</f>
        <v>205.14770452126061</v>
      </c>
      <c r="L54" s="11">
        <f>+'Raw data B2DS'!Q102</f>
        <v>201.05026082875585</v>
      </c>
      <c r="M54" s="11">
        <f>+'Raw data B2DS'!R102</f>
        <v>196.92707039633675</v>
      </c>
      <c r="N54" s="11">
        <f>+'Raw data B2DS'!S102</f>
        <v>192.77788978544163</v>
      </c>
      <c r="O54" s="11">
        <f>+'Raw data B2DS'!T102</f>
        <v>188.60247247881742</v>
      </c>
      <c r="P54" s="11">
        <f>+'Raw data B2DS'!U102</f>
        <v>184.40056883169603</v>
      </c>
      <c r="Q54" s="11">
        <f>+'Raw data B2DS'!V102</f>
        <v>173.76317113560361</v>
      </c>
      <c r="R54" s="11">
        <f>+'Raw data B2DS'!W102</f>
        <v>163.85646626148409</v>
      </c>
      <c r="S54" s="11">
        <f>+'Raw data B2DS'!X102</f>
        <v>154.60766618551995</v>
      </c>
      <c r="T54" s="11">
        <f>+'Raw data B2DS'!Y102</f>
        <v>145.95333989709562</v>
      </c>
      <c r="U54" s="11">
        <f>+'Raw data B2DS'!Z102</f>
        <v>137.83795664268592</v>
      </c>
      <c r="V54" s="11">
        <f>+'Raw data B2DS'!AA102</f>
        <v>135.96697002114971</v>
      </c>
      <c r="W54" s="11">
        <f>+'Raw data B2DS'!AB102</f>
        <v>134.10615453438064</v>
      </c>
      <c r="X54" s="11">
        <f>+'Raw data B2DS'!AC102</f>
        <v>132.25542746809154</v>
      </c>
      <c r="Y54" s="11">
        <f>+'Raw data B2DS'!AD102</f>
        <v>130.4147070024425</v>
      </c>
      <c r="Z54" s="11">
        <f>+'Raw data B2DS'!AE102</f>
        <v>128.58391219998313</v>
      </c>
      <c r="AA54" s="11">
        <f>+'Raw data B2DS'!AF102</f>
        <v>125.87737732312002</v>
      </c>
      <c r="AB54" s="11">
        <f>+'Raw data B2DS'!AG102</f>
        <v>123.23102709399504</v>
      </c>
      <c r="AC54" s="11">
        <f>+'Raw data B2DS'!AH102</f>
        <v>120.64287611696003</v>
      </c>
      <c r="AD54" s="11">
        <f>+'Raw data B2DS'!AI102</f>
        <v>118.11102537327389</v>
      </c>
      <c r="AE54" s="11">
        <f>+'Raw data B2DS'!AJ102</f>
        <v>115.63365757423693</v>
      </c>
      <c r="AF54" s="11">
        <f>+'Raw data B2DS'!AK102</f>
        <v>110.18353963003167</v>
      </c>
      <c r="AG54" s="11">
        <f>+'Raw data B2DS'!AL102</f>
        <v>105.05220412886523</v>
      </c>
      <c r="AH54" s="11">
        <f>+'Raw data B2DS'!AM102</f>
        <v>100.21247696967438</v>
      </c>
      <c r="AI54" s="11">
        <f>+'Raw data B2DS'!AN102</f>
        <v>95.640187267171015</v>
      </c>
      <c r="AJ54" s="11">
        <f>+'Raw data B2DS'!AO102</f>
        <v>91.313763621507789</v>
      </c>
      <c r="AK54" s="11">
        <f>+'Raw data B2DS'!AP102</f>
        <v>89.413399514814429</v>
      </c>
      <c r="AL54" s="11">
        <f>+'Raw data B2DS'!AQ102</f>
        <v>87.520368556085359</v>
      </c>
      <c r="AM54" s="11">
        <f>+'Raw data B2DS'!AR102</f>
        <v>85.634628381198311</v>
      </c>
      <c r="AN54" s="11">
        <f>+'Raw data B2DS'!AS102</f>
        <v>83.756136951724542</v>
      </c>
      <c r="AO54" s="11">
        <f>+'Raw data B2DS'!AT102</f>
        <v>81.884852551805068</v>
      </c>
      <c r="AP54" s="11"/>
      <c r="AQ54" s="11"/>
      <c r="AR54" s="11"/>
      <c r="AS54" s="11"/>
      <c r="AT54" s="11"/>
      <c r="AU54" s="11"/>
      <c r="AV54" s="11"/>
      <c r="AW54" s="11"/>
      <c r="AX54" s="11"/>
      <c r="AY54" s="11"/>
      <c r="AZ54" s="10"/>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row>
    <row r="55" spans="1:78">
      <c r="A55" s="7"/>
      <c r="B55" s="83"/>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0"/>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row>
    <row r="56" spans="1:78">
      <c r="A56" s="7"/>
      <c r="B56" s="83"/>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0"/>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row>
    <row r="57" spans="1:78">
      <c r="A57" s="7"/>
      <c r="B57" s="83"/>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0"/>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row>
    <row r="58" spans="1:78">
      <c r="A58" s="7"/>
      <c r="B58" s="83"/>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0"/>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row>
    <row r="59" spans="1:78">
      <c r="A59" s="7"/>
      <c r="B59" s="83"/>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0"/>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row>
    <row r="60" spans="1:78">
      <c r="B60" s="83"/>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0"/>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row>
    <row r="61" spans="1:78">
      <c r="B61" s="83"/>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0"/>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row>
    <row r="62" spans="1:78">
      <c r="B62" s="83"/>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0"/>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row>
    <row r="63" spans="1:78">
      <c r="B63" s="83"/>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10"/>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row>
    <row r="64" spans="1:78">
      <c r="B64" s="8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0"/>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row>
    <row r="65" spans="1:78">
      <c r="A65" s="1"/>
      <c r="B65" s="83"/>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0"/>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row>
    <row r="66" spans="1:78">
      <c r="A66" s="3"/>
      <c r="B66" s="83"/>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0"/>
      <c r="BA66" s="8"/>
    </row>
    <row r="67" spans="1:78">
      <c r="A67" s="7"/>
      <c r="B67" s="83"/>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0"/>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row>
    <row r="68" spans="1:78">
      <c r="A68" s="7"/>
      <c r="B68" s="83"/>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0"/>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row>
    <row r="69" spans="1:78">
      <c r="A69" s="7"/>
      <c r="B69" s="83"/>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0"/>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row>
    <row r="70" spans="1:78">
      <c r="A70" s="7"/>
      <c r="B70" s="83"/>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0"/>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row>
    <row r="71" spans="1:78">
      <c r="A71" s="7"/>
      <c r="B71" s="83"/>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0"/>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row>
    <row r="72" spans="1:78">
      <c r="A72" s="7"/>
      <c r="B72" s="83"/>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10"/>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row>
    <row r="73" spans="1:78">
      <c r="A73" s="7"/>
      <c r="B73" s="8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10"/>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row>
    <row r="74" spans="1:78">
      <c r="A74" s="7"/>
      <c r="B74" s="83"/>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10"/>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row>
    <row r="75" spans="1:78">
      <c r="A75" s="7"/>
      <c r="B75" s="83"/>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10"/>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row>
    <row r="76" spans="1:78">
      <c r="A76" s="7"/>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10"/>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row>
    <row r="77" spans="1:78">
      <c r="A77" s="7"/>
      <c r="B77" s="1" t="s">
        <v>70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10"/>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row>
    <row r="78" spans="1:78">
      <c r="A78" s="7"/>
      <c r="B78" s="5" t="s">
        <v>38</v>
      </c>
      <c r="C78" s="3">
        <v>2012</v>
      </c>
      <c r="D78" s="3">
        <v>2013</v>
      </c>
      <c r="E78" s="3">
        <v>2014</v>
      </c>
      <c r="F78" s="6">
        <v>2015</v>
      </c>
      <c r="G78" s="3">
        <v>2016</v>
      </c>
      <c r="H78" s="3">
        <v>2017</v>
      </c>
      <c r="I78" s="3">
        <v>2018</v>
      </c>
      <c r="J78" s="3">
        <v>2019</v>
      </c>
      <c r="K78" s="6">
        <v>2020</v>
      </c>
      <c r="L78" s="3">
        <v>2021</v>
      </c>
      <c r="M78" s="3">
        <v>2022</v>
      </c>
      <c r="N78" s="3">
        <v>2023</v>
      </c>
      <c r="O78" s="3">
        <v>2024</v>
      </c>
      <c r="P78" s="6">
        <v>2025</v>
      </c>
      <c r="Q78" s="3">
        <v>2026</v>
      </c>
      <c r="R78" s="3">
        <v>2027</v>
      </c>
      <c r="S78" s="3">
        <v>2028</v>
      </c>
      <c r="T78" s="3">
        <v>2029</v>
      </c>
      <c r="U78" s="6">
        <v>2030</v>
      </c>
      <c r="V78" s="3">
        <v>2031</v>
      </c>
      <c r="W78" s="3">
        <v>2032</v>
      </c>
      <c r="X78" s="3">
        <v>2033</v>
      </c>
      <c r="Y78" s="3">
        <v>2034</v>
      </c>
      <c r="Z78" s="6">
        <v>2035</v>
      </c>
      <c r="AA78" s="3">
        <v>2036</v>
      </c>
      <c r="AB78" s="3">
        <v>2037</v>
      </c>
      <c r="AC78" s="3">
        <v>2038</v>
      </c>
      <c r="AD78" s="3">
        <v>2039</v>
      </c>
      <c r="AE78" s="6">
        <v>2040</v>
      </c>
      <c r="AF78" s="3">
        <v>2041</v>
      </c>
      <c r="AG78" s="3">
        <v>2042</v>
      </c>
      <c r="AH78" s="3">
        <v>2043</v>
      </c>
      <c r="AI78" s="3">
        <v>2044</v>
      </c>
      <c r="AJ78" s="6">
        <v>2045</v>
      </c>
      <c r="AK78" s="3">
        <v>2046</v>
      </c>
      <c r="AL78" s="3">
        <v>2047</v>
      </c>
      <c r="AM78" s="3">
        <v>2048</v>
      </c>
      <c r="AN78" s="3">
        <v>2049</v>
      </c>
      <c r="AO78" s="6">
        <v>2050</v>
      </c>
      <c r="AP78" s="3"/>
      <c r="AQ78" s="3"/>
      <c r="AR78" s="3"/>
      <c r="AS78" s="3"/>
      <c r="AT78" s="6"/>
      <c r="AU78" s="3"/>
      <c r="AV78" s="3"/>
      <c r="AW78" s="3"/>
      <c r="AX78" s="3"/>
      <c r="AY78" s="6"/>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1:78">
      <c r="A79" s="7"/>
      <c r="B79" s="83" t="s">
        <v>66</v>
      </c>
      <c r="C79" s="8">
        <f>+'Raw data B2DS'!H99*1000000</f>
        <v>33660342.111044548</v>
      </c>
      <c r="D79" s="8">
        <f>+'Raw data B2DS'!I99*1000000</f>
        <v>36656584.771043129</v>
      </c>
      <c r="E79" s="8">
        <f>+'Raw data B2DS'!J99*1000000</f>
        <v>39652827.431041718</v>
      </c>
      <c r="F79" s="8">
        <f>+'Raw data B2DS'!K99*1000000</f>
        <v>42649070.091040291</v>
      </c>
      <c r="G79" s="8">
        <f>+'Raw data B2DS'!L99*1000000</f>
        <v>41004554.499207355</v>
      </c>
      <c r="H79" s="8">
        <f>+'Raw data B2DS'!M99*1000000</f>
        <v>39360038.907374427</v>
      </c>
      <c r="I79" s="8">
        <f>+'Raw data B2DS'!N99*1000000</f>
        <v>37715523.315541491</v>
      </c>
      <c r="J79" s="8">
        <f>+'Raw data B2DS'!O99*1000000</f>
        <v>36071007.723708548</v>
      </c>
      <c r="K79" s="8">
        <f>+'Raw data B2DS'!P99*1000000</f>
        <v>34426492.131875612</v>
      </c>
      <c r="L79" s="8">
        <f>+'Raw data B2DS'!Q99*1000000</f>
        <v>32781976.540042676</v>
      </c>
      <c r="M79" s="8">
        <f>+'Raw data B2DS'!R99*1000000</f>
        <v>31137460.948209744</v>
      </c>
      <c r="N79" s="8">
        <f>+'Raw data B2DS'!S99*1000000</f>
        <v>29492945.356376808</v>
      </c>
      <c r="O79" s="8">
        <f>+'Raw data B2DS'!T99*1000000</f>
        <v>27848429.764543872</v>
      </c>
      <c r="P79" s="8">
        <f>+'Raw data B2DS'!U99*1000000</f>
        <v>26203914.172710937</v>
      </c>
      <c r="Q79" s="8">
        <f>+'Raw data B2DS'!V99*1000000</f>
        <v>24682754.884727955</v>
      </c>
      <c r="R79" s="8">
        <f>+'Raw data B2DS'!W99*1000000</f>
        <v>23161595.596744973</v>
      </c>
      <c r="S79" s="8">
        <f>+'Raw data B2DS'!X99*1000000</f>
        <v>21640436.308761992</v>
      </c>
      <c r="T79" s="8">
        <f>+'Raw data B2DS'!Y99*1000000</f>
        <v>20119277.020779006</v>
      </c>
      <c r="U79" s="8">
        <f>+'Raw data B2DS'!Z99*1000000</f>
        <v>18598117.732796025</v>
      </c>
      <c r="V79" s="8">
        <f>+'Raw data B2DS'!AA99*1000000</f>
        <v>17331308.279664028</v>
      </c>
      <c r="W79" s="8">
        <f>+'Raw data B2DS'!AB99*1000000</f>
        <v>16064498.826532038</v>
      </c>
      <c r="X79" s="8">
        <f>+'Raw data B2DS'!AC99*1000000</f>
        <v>14797689.373400044</v>
      </c>
      <c r="Y79" s="8">
        <f>+'Raw data B2DS'!AD99*1000000</f>
        <v>13530879.920268051</v>
      </c>
      <c r="Z79" s="8">
        <f>+'Raw data B2DS'!AE99*1000000</f>
        <v>12264070.467136059</v>
      </c>
      <c r="AA79" s="8">
        <f>+'Raw data B2DS'!AF99*1000000</f>
        <v>11171757.251173964</v>
      </c>
      <c r="AB79" s="8">
        <f>+'Raw data B2DS'!AG99*1000000</f>
        <v>10079444.035211869</v>
      </c>
      <c r="AC79" s="8">
        <f>+'Raw data B2DS'!AH99*1000000</f>
        <v>8987130.8192497734</v>
      </c>
      <c r="AD79" s="8">
        <f>+'Raw data B2DS'!AI99*1000000</f>
        <v>7894817.6032876801</v>
      </c>
      <c r="AE79" s="8">
        <f>+'Raw data B2DS'!AJ99*1000000</f>
        <v>6802504.3873255858</v>
      </c>
      <c r="AF79" s="8">
        <f>+'Raw data B2DS'!AK99*1000000</f>
        <v>5845661.6159582362</v>
      </c>
      <c r="AG79" s="8">
        <f>+'Raw data B2DS'!AL99*1000000</f>
        <v>4888818.8445908865</v>
      </c>
      <c r="AH79" s="8">
        <f>+'Raw data B2DS'!AM99*1000000</f>
        <v>3931976.0732235364</v>
      </c>
      <c r="AI79" s="8">
        <f>+'Raw data B2DS'!AN99*1000000</f>
        <v>2975133.3018561867</v>
      </c>
      <c r="AJ79" s="8">
        <f>+'Raw data B2DS'!AO99*1000000</f>
        <v>2018290.5304888373</v>
      </c>
      <c r="AK79" s="8">
        <f>+'Raw data B2DS'!AP99*1000000</f>
        <v>1444272.5390642132</v>
      </c>
      <c r="AL79" s="8">
        <f>+'Raw data B2DS'!AQ99*1000000</f>
        <v>870254.54763958929</v>
      </c>
      <c r="AM79" s="8">
        <f>+'Raw data B2DS'!AR99*1000000</f>
        <v>296236.55621496536</v>
      </c>
      <c r="AN79" s="8">
        <f>+'Raw data B2DS'!AS99*1000000</f>
        <v>-277781.43520965858</v>
      </c>
      <c r="AO79" s="8">
        <f>+'Raw data B2DS'!AT99*1000000</f>
        <v>-851799.42663428211</v>
      </c>
      <c r="AP79" s="8"/>
      <c r="AQ79" s="8"/>
      <c r="AR79" s="8"/>
      <c r="AS79" s="8"/>
      <c r="AT79" s="8"/>
      <c r="AU79" s="8"/>
      <c r="AV79" s="8"/>
      <c r="AW79" s="8"/>
      <c r="AX79" s="8"/>
      <c r="AY79" s="8"/>
      <c r="AZ79" s="84"/>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1:78">
      <c r="A80" s="7"/>
      <c r="B80" s="83"/>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4"/>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1:78">
      <c r="B81" s="83"/>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4"/>
      <c r="BA81" s="8"/>
      <c r="BB81" s="8"/>
      <c r="BC81" s="8"/>
      <c r="BD81" s="8"/>
      <c r="BE81" s="8"/>
      <c r="BF81" s="8"/>
      <c r="BG81" s="8"/>
      <c r="BH81" s="8"/>
      <c r="BI81" s="8"/>
      <c r="BJ81" s="8"/>
      <c r="BK81" s="8"/>
      <c r="BL81" s="8"/>
      <c r="BM81" s="8"/>
      <c r="BN81" s="8"/>
      <c r="BO81" s="8"/>
      <c r="BP81" s="8"/>
      <c r="BQ81" s="8"/>
      <c r="BR81" s="8"/>
      <c r="BS81" s="8"/>
      <c r="BT81" s="8"/>
      <c r="BU81" s="8"/>
    </row>
    <row r="82" spans="1:78">
      <c r="B82" s="83"/>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4"/>
      <c r="BA82" s="8"/>
      <c r="BB82" s="8"/>
      <c r="BC82" s="8"/>
      <c r="BD82" s="8"/>
      <c r="BE82" s="8"/>
      <c r="BF82" s="8"/>
      <c r="BG82" s="8"/>
      <c r="BH82" s="8"/>
      <c r="BI82" s="8"/>
      <c r="BJ82" s="8"/>
      <c r="BK82" s="8"/>
      <c r="BL82" s="8"/>
      <c r="BM82" s="8"/>
      <c r="BN82" s="8"/>
      <c r="BO82" s="8"/>
      <c r="BP82" s="8"/>
      <c r="BQ82" s="8"/>
      <c r="BR82" s="8"/>
      <c r="BS82" s="8"/>
      <c r="BT82" s="8"/>
      <c r="BU82" s="8"/>
    </row>
    <row r="83" spans="1:78">
      <c r="B83" s="83"/>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4"/>
      <c r="BA83" s="8"/>
      <c r="BB83" s="8"/>
      <c r="BC83" s="8"/>
      <c r="BD83" s="8"/>
      <c r="BE83" s="8"/>
      <c r="BF83" s="8"/>
      <c r="BG83" s="8"/>
      <c r="BH83" s="8"/>
      <c r="BI83" s="8"/>
      <c r="BJ83" s="8"/>
      <c r="BK83" s="8"/>
      <c r="BL83" s="8"/>
      <c r="BM83" s="8"/>
      <c r="BN83" s="8"/>
      <c r="BO83" s="8"/>
      <c r="BP83" s="8"/>
      <c r="BQ83" s="8"/>
      <c r="BR83" s="8"/>
      <c r="BS83" s="8"/>
      <c r="BT83" s="8"/>
      <c r="BU83" s="8"/>
    </row>
    <row r="84" spans="1:78">
      <c r="B84" s="83"/>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4"/>
      <c r="BA84" s="8"/>
      <c r="BB84" s="8"/>
      <c r="BC84" s="8"/>
      <c r="BD84" s="8"/>
      <c r="BE84" s="8"/>
      <c r="BF84" s="8"/>
      <c r="BG84" s="8"/>
      <c r="BH84" s="8"/>
      <c r="BI84" s="8"/>
      <c r="BJ84" s="8"/>
      <c r="BK84" s="8"/>
      <c r="BL84" s="8"/>
      <c r="BM84" s="8"/>
      <c r="BN84" s="8"/>
      <c r="BO84" s="8"/>
      <c r="BP84" s="8"/>
      <c r="BQ84" s="8"/>
      <c r="BR84" s="8"/>
      <c r="BS84" s="8"/>
      <c r="BT84" s="8"/>
      <c r="BU84" s="8"/>
    </row>
    <row r="85" spans="1:78">
      <c r="B85" s="83"/>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4"/>
      <c r="BA85" s="8"/>
      <c r="BB85" s="8"/>
      <c r="BC85" s="8"/>
      <c r="BD85" s="8"/>
      <c r="BE85" s="8"/>
      <c r="BF85" s="8"/>
      <c r="BG85" s="8"/>
      <c r="BH85" s="8"/>
      <c r="BI85" s="8"/>
      <c r="BJ85" s="8"/>
      <c r="BK85" s="8"/>
      <c r="BL85" s="8"/>
      <c r="BM85" s="8"/>
      <c r="BN85" s="8"/>
      <c r="BO85" s="8"/>
      <c r="BP85" s="8"/>
      <c r="BQ85" s="8"/>
      <c r="BR85" s="8"/>
      <c r="BS85" s="8"/>
      <c r="BT85" s="8"/>
      <c r="BU85" s="8"/>
    </row>
    <row r="86" spans="1:78">
      <c r="A86" s="1"/>
      <c r="B86" s="83"/>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4"/>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1:78">
      <c r="A87" s="3"/>
      <c r="B87" s="83"/>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4"/>
      <c r="BA87" s="8"/>
    </row>
    <row r="88" spans="1:78">
      <c r="A88" s="7"/>
      <c r="B88" s="83"/>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4"/>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1:78">
      <c r="A89" s="7"/>
      <c r="B89" s="83"/>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4"/>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1:78">
      <c r="A90" s="7"/>
      <c r="B90" s="83"/>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4"/>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1:78">
      <c r="A91" s="7"/>
      <c r="B91" s="8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4"/>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1:78">
      <c r="A92" s="7"/>
      <c r="B92" s="83"/>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4"/>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1:78">
      <c r="A93" s="7"/>
      <c r="B93" s="83"/>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4"/>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1:78">
      <c r="A94" s="7"/>
      <c r="B94" s="83"/>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4"/>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1:78">
      <c r="A95" s="7"/>
      <c r="B95" s="83"/>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4"/>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1:78">
      <c r="A96" s="7"/>
      <c r="B96" s="83"/>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4"/>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1:78">
      <c r="A97" s="7"/>
      <c r="B97" s="83"/>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4"/>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1:78">
      <c r="A98" s="7"/>
      <c r="B98" s="83"/>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4"/>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1:78">
      <c r="A99" s="7"/>
      <c r="B99" s="83"/>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4"/>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1:78">
      <c r="A100" s="7"/>
      <c r="B100" s="83"/>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1:78">
      <c r="A101" s="7"/>
      <c r="B101" s="83"/>
      <c r="F101" s="8"/>
      <c r="K101" s="8"/>
      <c r="P101" s="8"/>
      <c r="U101" s="8"/>
      <c r="Z101" s="8"/>
      <c r="AE101" s="8"/>
      <c r="AJ101" s="8"/>
      <c r="AO101" s="8"/>
      <c r="AT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1:78">
      <c r="B102" s="1" t="s">
        <v>71</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10"/>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1:78">
      <c r="B103" s="5" t="s">
        <v>38</v>
      </c>
      <c r="C103" s="3">
        <v>2012</v>
      </c>
      <c r="D103" s="3">
        <v>2013</v>
      </c>
      <c r="E103" s="3">
        <v>2014</v>
      </c>
      <c r="F103" s="6">
        <v>2015</v>
      </c>
      <c r="G103" s="3">
        <v>2016</v>
      </c>
      <c r="H103" s="3">
        <v>2017</v>
      </c>
      <c r="I103" s="3">
        <v>2018</v>
      </c>
      <c r="J103" s="3">
        <v>2019</v>
      </c>
      <c r="K103" s="6">
        <v>2020</v>
      </c>
      <c r="L103" s="3">
        <v>2021</v>
      </c>
      <c r="M103" s="3">
        <v>2022</v>
      </c>
      <c r="N103" s="3">
        <v>2023</v>
      </c>
      <c r="O103" s="3">
        <v>2024</v>
      </c>
      <c r="P103" s="6">
        <v>2025</v>
      </c>
      <c r="Q103" s="3">
        <v>2026</v>
      </c>
      <c r="R103" s="3">
        <v>2027</v>
      </c>
      <c r="S103" s="3">
        <v>2028</v>
      </c>
      <c r="T103" s="3">
        <v>2029</v>
      </c>
      <c r="U103" s="6">
        <v>2030</v>
      </c>
      <c r="V103" s="3">
        <v>2031</v>
      </c>
      <c r="W103" s="3">
        <v>2032</v>
      </c>
      <c r="X103" s="3">
        <v>2033</v>
      </c>
      <c r="Y103" s="3">
        <v>2034</v>
      </c>
      <c r="Z103" s="6">
        <v>2035</v>
      </c>
      <c r="AA103" s="3">
        <v>2036</v>
      </c>
      <c r="AB103" s="3">
        <v>2037</v>
      </c>
      <c r="AC103" s="3">
        <v>2038</v>
      </c>
      <c r="AD103" s="3">
        <v>2039</v>
      </c>
      <c r="AE103" s="6">
        <v>2040</v>
      </c>
      <c r="AF103" s="3">
        <v>2041</v>
      </c>
      <c r="AG103" s="3">
        <v>2042</v>
      </c>
      <c r="AH103" s="3">
        <v>2043</v>
      </c>
      <c r="AI103" s="3">
        <v>2044</v>
      </c>
      <c r="AJ103" s="6">
        <v>2045</v>
      </c>
      <c r="AK103" s="3">
        <v>2046</v>
      </c>
      <c r="AL103" s="3">
        <v>2047</v>
      </c>
      <c r="AM103" s="3">
        <v>2048</v>
      </c>
      <c r="AN103" s="3">
        <v>2049</v>
      </c>
      <c r="AO103" s="6">
        <v>2050</v>
      </c>
      <c r="AP103" s="3"/>
      <c r="AQ103" s="3"/>
      <c r="AR103" s="3"/>
      <c r="AS103" s="3"/>
      <c r="AT103" s="6"/>
      <c r="AU103" s="3"/>
      <c r="AV103" s="3"/>
      <c r="AW103" s="3"/>
      <c r="AX103" s="3"/>
      <c r="AY103" s="6"/>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1:78">
      <c r="B104" s="83" t="s">
        <v>66</v>
      </c>
      <c r="C104" s="11">
        <f>+'Raw data B2DS'!H101</f>
        <v>482.8115183765791</v>
      </c>
      <c r="D104" s="11">
        <f>+'Raw data B2DS'!I101</f>
        <v>501.04559327886631</v>
      </c>
      <c r="E104" s="11">
        <f>+'Raw data B2DS'!J101</f>
        <v>517.64065435965358</v>
      </c>
      <c r="F104" s="11">
        <f>+'Raw data B2DS'!K101</f>
        <v>532.80818676121714</v>
      </c>
      <c r="G104" s="11">
        <f>+'Raw data B2DS'!L101</f>
        <v>506.60860442645605</v>
      </c>
      <c r="H104" s="11">
        <f>+'Raw data B2DS'!M101</f>
        <v>480.98114369565928</v>
      </c>
      <c r="I104" s="11">
        <f>+'Raw data B2DS'!N101</f>
        <v>455.90726680132599</v>
      </c>
      <c r="J104" s="11">
        <f>+'Raw data B2DS'!O101</f>
        <v>431.36922829438936</v>
      </c>
      <c r="K104" s="11">
        <f>+'Raw data B2DS'!P101</f>
        <v>407.35003316137016</v>
      </c>
      <c r="L104" s="11">
        <f>+'Raw data B2DS'!Q101</f>
        <v>389.10623324000909</v>
      </c>
      <c r="M104" s="11">
        <f>+'Raw data B2DS'!R101</f>
        <v>370.74779638721594</v>
      </c>
      <c r="N104" s="11">
        <f>+'Raw data B2DS'!S101</f>
        <v>352.27363869684206</v>
      </c>
      <c r="O104" s="11">
        <f>+'Raw data B2DS'!T101</f>
        <v>333.68266255491613</v>
      </c>
      <c r="P104" s="11">
        <f>+'Raw data B2DS'!U101</f>
        <v>314.97375642225882</v>
      </c>
      <c r="Q104" s="11">
        <f>+'Raw data B2DS'!V101</f>
        <v>286.13690701949264</v>
      </c>
      <c r="R104" s="11">
        <f>+'Raw data B2DS'!W101</f>
        <v>259.28088784127044</v>
      </c>
      <c r="S104" s="11">
        <f>+'Raw data B2DS'!X101</f>
        <v>234.20837832657554</v>
      </c>
      <c r="T104" s="11">
        <f>+'Raw data B2DS'!Y101</f>
        <v>210.74742377813649</v>
      </c>
      <c r="U104" s="11">
        <f>+'Raw data B2DS'!Z101</f>
        <v>188.7474862521465</v>
      </c>
      <c r="V104" s="11">
        <f>+'Raw data B2DS'!AA101</f>
        <v>175.41156886662114</v>
      </c>
      <c r="W104" s="11">
        <f>+'Raw data B2DS'!AB101</f>
        <v>162.14814874612676</v>
      </c>
      <c r="X104" s="11">
        <f>+'Raw data B2DS'!AC101</f>
        <v>148.95663632423529</v>
      </c>
      <c r="Y104" s="11">
        <f>+'Raw data B2DS'!AD101</f>
        <v>135.8364484099111</v>
      </c>
      <c r="Z104" s="11">
        <f>+'Raw data B2DS'!AE101</f>
        <v>122.7870081015667</v>
      </c>
      <c r="AA104" s="11">
        <f>+'Raw data B2DS'!AF101</f>
        <v>110.59326106485918</v>
      </c>
      <c r="AB104" s="11">
        <f>+'Raw data B2DS'!AG101</f>
        <v>98.670663820561828</v>
      </c>
      <c r="AC104" s="11">
        <f>+'Raw data B2DS'!AH101</f>
        <v>87.010271568994156</v>
      </c>
      <c r="AD104" s="11">
        <f>+'Raw data B2DS'!AI101</f>
        <v>75.603528664210344</v>
      </c>
      <c r="AE104" s="11">
        <f>+'Raw data B2DS'!AJ101</f>
        <v>64.442247678482516</v>
      </c>
      <c r="AF104" s="11">
        <f>+'Raw data B2DS'!AK101</f>
        <v>53.709437289970083</v>
      </c>
      <c r="AG104" s="11">
        <f>+'Raw data B2DS'!AL101</f>
        <v>43.604398915081724</v>
      </c>
      <c r="AH104" s="11">
        <f>+'Raw data B2DS'!AM101</f>
        <v>34.07361912948862</v>
      </c>
      <c r="AI104" s="11">
        <f>+'Raw data B2DS'!AN101</f>
        <v>25.069498682793878</v>
      </c>
      <c r="AJ104" s="11">
        <f>+'Raw data B2DS'!AO101</f>
        <v>16.549557440301911</v>
      </c>
      <c r="AK104" s="11">
        <f>+'Raw data B2DS'!AP101</f>
        <v>11.819837151046098</v>
      </c>
      <c r="AL104" s="11">
        <f>+'Raw data B2DS'!AQ101</f>
        <v>7.1083679635600392</v>
      </c>
      <c r="AM104" s="11">
        <f>+'Raw data B2DS'!AR101</f>
        <v>2.4150444399184359</v>
      </c>
      <c r="AN104" s="11">
        <f>+'Raw data B2DS'!AS101</f>
        <v>-2.2602380472017005</v>
      </c>
      <c r="AO104" s="11">
        <f>+'Raw data B2DS'!AT101</f>
        <v>-6.9175833222959371</v>
      </c>
      <c r="AP104" s="11">
        <f>+'Raw data 2DS'!AU101</f>
        <v>0</v>
      </c>
      <c r="AQ104" s="11">
        <f>+'Raw data 2DS'!AV101</f>
        <v>0</v>
      </c>
      <c r="AR104" s="11">
        <f>+'Raw data 2DS'!AW101</f>
        <v>0</v>
      </c>
      <c r="AS104" s="11">
        <f>+'Raw data 2DS'!AX101</f>
        <v>0</v>
      </c>
      <c r="AT104" s="11">
        <f>+'Raw data 2DS'!AY101</f>
        <v>0</v>
      </c>
      <c r="AU104" s="11">
        <f>+'Raw data 2DS'!AZ101</f>
        <v>0</v>
      </c>
      <c r="AV104" s="11">
        <f>+'Raw data 2DS'!BA101</f>
        <v>0</v>
      </c>
      <c r="AW104" s="11">
        <f>+'Raw data 2DS'!BB101</f>
        <v>0</v>
      </c>
      <c r="AX104" s="11">
        <f>+'Raw data 2DS'!BC101</f>
        <v>0</v>
      </c>
      <c r="AY104" s="11">
        <f>+'Raw data 2DS'!BD101</f>
        <v>0</v>
      </c>
      <c r="AZ104" s="11">
        <f>+'Raw data 2DS'!BE101</f>
        <v>0</v>
      </c>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1:78">
      <c r="B105" s="83"/>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0"/>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1:78">
      <c r="B106" s="83"/>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0"/>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1:78">
      <c r="B107" s="83"/>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0"/>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1:78">
      <c r="B108" s="83"/>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0"/>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1:78">
      <c r="B109" s="83"/>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0"/>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1:78">
      <c r="B110" s="83"/>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0"/>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1:78">
      <c r="B111" s="83"/>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0"/>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1:78">
      <c r="B112" s="83"/>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0"/>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c r="B113" s="83"/>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0"/>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c r="B114" s="83"/>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0"/>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c r="B115" s="83"/>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0"/>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c r="B116" s="83"/>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0"/>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c r="B117" s="83"/>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0"/>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c r="B118" s="83"/>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0"/>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c r="B119" s="83"/>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0"/>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c r="B120" s="83"/>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0"/>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c r="B121" s="83"/>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0"/>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c r="B122" s="83"/>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10"/>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c r="B123" s="8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10"/>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c r="B124" s="83"/>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10"/>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c r="B125" s="8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10"/>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10"/>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c r="B127" s="1"/>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10"/>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c r="B128" s="5"/>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c r="B129" s="83"/>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4"/>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c r="B130" s="83"/>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4"/>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c r="B131" s="83"/>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4"/>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c r="B132" s="83"/>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4"/>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c r="B133" s="83"/>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4"/>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c r="B134" s="83"/>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4"/>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c r="B135" s="83"/>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4"/>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c r="B136" s="83"/>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4"/>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c r="B137" s="83"/>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4"/>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c r="B138" s="83"/>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4"/>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c r="B139" s="83"/>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4"/>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c r="B140" s="83"/>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4"/>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c r="B141" s="83"/>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4"/>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c r="B142" s="83"/>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4"/>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c r="B143" s="83"/>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4"/>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c r="B144" s="83"/>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4"/>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c r="B145" s="83"/>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4"/>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c r="B146" s="83"/>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4"/>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c r="B147" s="83"/>
      <c r="AZ147" s="10"/>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c r="B148" s="83"/>
      <c r="AZ148" s="10"/>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c r="B149" s="83"/>
      <c r="AZ149" s="10"/>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c r="B150" s="83"/>
      <c r="AZ150" s="10"/>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10"/>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c r="B152" s="1"/>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10"/>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c r="B153" s="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c r="B154" s="83"/>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10"/>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c r="B155" s="83"/>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10"/>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c r="B156" s="83"/>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10"/>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c r="B157" s="83"/>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10"/>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c r="B158" s="83"/>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10"/>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c r="B159" s="83"/>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10"/>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c r="B160" s="83"/>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10"/>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c r="B161" s="83"/>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10"/>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c r="B162" s="83"/>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10"/>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c r="B163" s="83"/>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10"/>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c r="B164" s="83"/>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10"/>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c r="B165" s="83"/>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10"/>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c r="B166" s="83"/>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10"/>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c r="B167" s="83"/>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10"/>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c r="B168" s="83"/>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10"/>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c r="B169" s="83"/>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10"/>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c r="B170" s="83"/>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10"/>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c r="B171" s="83"/>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10"/>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c r="B172" s="83"/>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10"/>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c r="B173" s="83"/>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10"/>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c r="B174" s="83"/>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10"/>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c r="B175" s="83"/>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10"/>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c r="B176" s="83"/>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BA176" s="84"/>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c r="B177" s="83"/>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BA177" s="84"/>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c r="B178" s="83"/>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BA178" s="84"/>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c r="B179" s="83"/>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BA179" s="84"/>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10"/>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c r="B181" s="1"/>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10"/>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c r="B182" s="5"/>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c r="B183" s="83"/>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10"/>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c r="B184" s="83"/>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10"/>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c r="B185" s="83"/>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10"/>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c r="B186" s="83"/>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10"/>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10"/>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10"/>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10"/>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10"/>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10"/>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10"/>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3:7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10"/>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3:7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10"/>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3:7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10"/>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3:7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10"/>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3:7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10"/>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3:7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10"/>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3:7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10"/>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3:7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10"/>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3:7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10"/>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3:7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10"/>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3:7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10"/>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3:7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10"/>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3:7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10"/>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3:7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10"/>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3:7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10"/>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3:7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10"/>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3:7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10"/>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3:7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10"/>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3:7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10"/>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3:7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10"/>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3:7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10"/>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3:7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10"/>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3:7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10"/>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3:7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10"/>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3:7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10"/>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3:7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10"/>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3:7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10"/>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3:7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10"/>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3:7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10"/>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3:7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10"/>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3:7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10"/>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3:7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10"/>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3:7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10"/>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3:7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10"/>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3:7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10"/>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3:7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10"/>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3:7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10"/>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3:7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10"/>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3:7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10"/>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3:7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10"/>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3:7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10"/>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3:7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10"/>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3:7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10"/>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3:7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10"/>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3:7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10"/>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3:7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10"/>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3:7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10"/>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3:7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10"/>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3:7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10"/>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3:7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10"/>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3:7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10"/>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3:7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10"/>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3:7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10"/>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3:7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10"/>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3:7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10"/>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3:7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10"/>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3:7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10"/>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3:7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10"/>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3:7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10"/>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3:7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10"/>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3:7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10"/>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3:7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10"/>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3:7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10"/>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3:7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10"/>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3:7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10"/>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3:7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10"/>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3:7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10"/>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3:7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10"/>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3:7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10"/>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3:7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10"/>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3:7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10"/>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3:7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10"/>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3:7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10"/>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3:7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10"/>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3:7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10"/>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3:7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10"/>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3:7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10"/>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3:7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10"/>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3:7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10"/>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3:7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10"/>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3:7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10"/>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3:7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10"/>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3:7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10"/>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3:7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10"/>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3:7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10"/>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3:7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10"/>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3:7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10"/>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3:7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10"/>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3:7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10"/>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3:7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10"/>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3:7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10"/>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3:7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10"/>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3:7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10"/>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3:7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10"/>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3:7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10"/>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3:7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10"/>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3:7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10"/>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3:7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10"/>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3:7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10"/>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3:7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10"/>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3:7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10"/>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3:7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10"/>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3:7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10"/>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3:7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10"/>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3:7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10"/>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3:7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10"/>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3:7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10"/>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3:7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10"/>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3:7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10"/>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3:7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10"/>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3:7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10"/>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3:7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10"/>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3:7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10"/>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3:7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10"/>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3:7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10"/>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3:7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10"/>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3:7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10"/>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3:7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10"/>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3:7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10"/>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3:7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10"/>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3:7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10"/>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3:7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10"/>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3:7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10"/>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3:7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10"/>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3:7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10"/>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3:7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10"/>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3:7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10"/>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3:7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10"/>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3:7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10"/>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3:7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10"/>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3:7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10"/>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3:7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10"/>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3:7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10"/>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3:7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10"/>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3:7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10"/>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3:7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10"/>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3:7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10"/>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3:7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10"/>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3:7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10"/>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3:7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10"/>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3:7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10"/>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3:7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10"/>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3:7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10"/>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3:7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10"/>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3:7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10"/>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I52"/>
  <sheetViews>
    <sheetView workbookViewId="0">
      <selection activeCell="C5" sqref="C5"/>
    </sheetView>
  </sheetViews>
  <sheetFormatPr baseColWidth="10" defaultRowHeight="15"/>
  <cols>
    <col min="1" max="1" width="5" customWidth="1"/>
    <col min="2" max="2" width="22.42578125" bestFit="1" customWidth="1"/>
    <col min="3" max="3" width="39.28515625" bestFit="1" customWidth="1"/>
    <col min="4" max="4" width="17.85546875" bestFit="1" customWidth="1"/>
    <col min="5" max="5" width="29.7109375" bestFit="1" customWidth="1"/>
    <col min="6" max="6" width="19.140625" bestFit="1" customWidth="1"/>
  </cols>
  <sheetData>
    <row r="1" spans="2:9" ht="21" thickBot="1">
      <c r="B1" s="22" t="s">
        <v>36</v>
      </c>
      <c r="C1" s="23"/>
      <c r="D1" s="24"/>
      <c r="E1" s="25"/>
      <c r="F1" s="24"/>
      <c r="G1" s="24"/>
      <c r="H1" s="24"/>
      <c r="I1" s="24"/>
    </row>
    <row r="2" spans="2:9">
      <c r="B2" s="48" t="s">
        <v>14</v>
      </c>
      <c r="C2" s="12" t="s">
        <v>13</v>
      </c>
      <c r="D2" s="12" t="s">
        <v>3</v>
      </c>
      <c r="E2" s="12" t="s">
        <v>4</v>
      </c>
      <c r="F2" s="12" t="s">
        <v>5</v>
      </c>
      <c r="H2" s="90" t="s">
        <v>1</v>
      </c>
      <c r="I2" s="90" t="s">
        <v>2</v>
      </c>
    </row>
    <row r="3" spans="2:9">
      <c r="B3" s="2"/>
      <c r="C3" s="83"/>
      <c r="D3" s="2"/>
      <c r="E3" s="2"/>
      <c r="F3" s="10"/>
    </row>
    <row r="4" spans="2:9">
      <c r="B4" s="2" t="s">
        <v>77</v>
      </c>
      <c r="C4" s="83" t="s">
        <v>66</v>
      </c>
      <c r="D4" s="2" t="s">
        <v>72</v>
      </c>
      <c r="E4" s="2" t="s">
        <v>6</v>
      </c>
      <c r="F4" s="10" t="s">
        <v>76</v>
      </c>
    </row>
    <row r="5" spans="2:9">
      <c r="B5" s="2"/>
      <c r="C5" s="83"/>
      <c r="D5" s="2"/>
      <c r="E5" s="2"/>
      <c r="F5" s="10"/>
    </row>
    <row r="6" spans="2:9">
      <c r="B6" s="2"/>
      <c r="C6" s="83"/>
      <c r="D6" s="2"/>
      <c r="E6" s="2"/>
      <c r="F6" s="10"/>
    </row>
    <row r="7" spans="2:9">
      <c r="B7" s="2"/>
      <c r="C7" s="83"/>
      <c r="D7" s="2"/>
      <c r="E7" s="2"/>
      <c r="F7" s="10"/>
    </row>
    <row r="8" spans="2:9">
      <c r="B8" s="2"/>
      <c r="C8" s="83"/>
      <c r="D8" s="2"/>
      <c r="E8" s="2"/>
      <c r="F8" s="10"/>
    </row>
    <row r="9" spans="2:9">
      <c r="B9" s="2"/>
      <c r="C9" s="83"/>
      <c r="D9" s="2"/>
      <c r="E9" s="2"/>
      <c r="F9" s="10"/>
    </row>
    <row r="10" spans="2:9">
      <c r="B10" s="2"/>
      <c r="C10" s="83"/>
      <c r="D10" s="2"/>
      <c r="E10" s="2"/>
      <c r="F10" s="10"/>
    </row>
    <row r="11" spans="2:9">
      <c r="B11" s="2"/>
      <c r="C11" s="83"/>
      <c r="D11" s="2"/>
      <c r="E11" s="2"/>
      <c r="F11" s="10"/>
    </row>
    <row r="12" spans="2:9">
      <c r="B12" s="2"/>
      <c r="C12" s="2"/>
      <c r="D12" s="2"/>
      <c r="E12" s="2"/>
      <c r="F12" s="10"/>
    </row>
    <row r="13" spans="2:9">
      <c r="B13" s="2"/>
      <c r="C13" s="83"/>
      <c r="D13" s="2"/>
      <c r="E13" s="2"/>
      <c r="F13" s="10"/>
    </row>
    <row r="14" spans="2:9">
      <c r="B14" s="2"/>
      <c r="C14" s="83"/>
      <c r="D14" s="2"/>
      <c r="E14" s="2"/>
      <c r="F14" s="10"/>
    </row>
    <row r="15" spans="2:9">
      <c r="B15" s="2"/>
      <c r="C15" s="83"/>
      <c r="D15" s="2"/>
      <c r="E15" s="2"/>
      <c r="F15" s="10"/>
    </row>
    <row r="16" spans="2:9">
      <c r="B16" s="2"/>
      <c r="C16" s="83"/>
      <c r="D16" s="2"/>
      <c r="E16" s="2"/>
      <c r="F16" s="10"/>
    </row>
    <row r="17" spans="2:6">
      <c r="B17" s="2"/>
      <c r="C17" s="83"/>
      <c r="D17" s="2"/>
      <c r="E17" s="2"/>
      <c r="F17" s="10"/>
    </row>
    <row r="18" spans="2:6">
      <c r="B18" s="2"/>
      <c r="C18" s="83"/>
      <c r="D18" s="2"/>
      <c r="E18" s="2"/>
      <c r="F18" s="10"/>
    </row>
    <row r="19" spans="2:6">
      <c r="B19" s="2"/>
      <c r="C19" s="83"/>
      <c r="D19" s="2"/>
      <c r="E19" s="2"/>
      <c r="F19" s="10"/>
    </row>
    <row r="20" spans="2:6">
      <c r="B20" s="2"/>
      <c r="C20" s="83"/>
      <c r="D20" s="2"/>
      <c r="E20" s="2"/>
      <c r="F20" s="10"/>
    </row>
    <row r="21" spans="2:6">
      <c r="B21" s="2"/>
      <c r="C21" s="83"/>
      <c r="D21" s="2"/>
      <c r="E21" s="2"/>
      <c r="F21" s="10"/>
    </row>
    <row r="22" spans="2:6">
      <c r="B22" s="2"/>
      <c r="C22" s="83"/>
      <c r="D22" s="2"/>
      <c r="E22" s="2"/>
      <c r="F22" s="10"/>
    </row>
    <row r="23" spans="2:6">
      <c r="B23" s="2"/>
      <c r="C23" s="83"/>
      <c r="D23" s="2"/>
      <c r="E23" s="2"/>
      <c r="F23" s="10"/>
    </row>
    <row r="24" spans="2:6">
      <c r="B24" s="2"/>
      <c r="C24" s="83"/>
      <c r="D24" s="2"/>
      <c r="E24" s="2"/>
      <c r="F24" s="10"/>
    </row>
    <row r="25" spans="2:6">
      <c r="B25" s="2"/>
      <c r="C25" s="83"/>
      <c r="D25" s="2"/>
      <c r="E25" s="2"/>
      <c r="F25" s="10"/>
    </row>
    <row r="26" spans="2:6">
      <c r="B26" s="2"/>
      <c r="C26" s="83"/>
      <c r="D26" s="2"/>
      <c r="E26" s="2"/>
      <c r="F26" s="10"/>
    </row>
    <row r="27" spans="2:6">
      <c r="B27" s="2"/>
      <c r="C27" s="83"/>
      <c r="D27" s="2"/>
      <c r="E27" s="2"/>
      <c r="F27" s="10"/>
    </row>
    <row r="28" spans="2:6">
      <c r="B28" s="2"/>
      <c r="C28" s="83"/>
      <c r="D28" s="2"/>
      <c r="E28" s="2"/>
      <c r="F28" s="10"/>
    </row>
    <row r="29" spans="2:6">
      <c r="B29" s="2"/>
      <c r="C29" s="2"/>
      <c r="D29" s="2"/>
      <c r="E29" s="2"/>
      <c r="F29" s="10"/>
    </row>
    <row r="30" spans="2:6">
      <c r="B30" s="12" t="s">
        <v>7</v>
      </c>
    </row>
    <row r="31" spans="2:6">
      <c r="B31" s="13" t="s">
        <v>16</v>
      </c>
    </row>
    <row r="32" spans="2:6">
      <c r="B32" s="13" t="s">
        <v>8</v>
      </c>
    </row>
    <row r="34" spans="2:4">
      <c r="B34" s="12"/>
      <c r="C34" s="12"/>
    </row>
    <row r="35" spans="2:4">
      <c r="C35" s="2"/>
      <c r="D35" s="2"/>
    </row>
    <row r="36" spans="2:4">
      <c r="C36" s="2"/>
      <c r="D36" s="2"/>
    </row>
    <row r="37" spans="2:4">
      <c r="C37" s="2"/>
      <c r="D37" s="2"/>
    </row>
    <row r="38" spans="2:4">
      <c r="C38" s="2"/>
      <c r="D38" s="2"/>
    </row>
    <row r="40" spans="2:4">
      <c r="C40" s="2"/>
    </row>
    <row r="41" spans="2:4">
      <c r="C41" s="2"/>
    </row>
    <row r="42" spans="2:4">
      <c r="C42" s="2"/>
    </row>
    <row r="43" spans="2:4">
      <c r="C43" s="2"/>
    </row>
    <row r="44" spans="2:4">
      <c r="C44" s="2"/>
    </row>
    <row r="45" spans="2:4">
      <c r="C45" s="2"/>
    </row>
    <row r="46" spans="2:4">
      <c r="C46" s="2"/>
    </row>
    <row r="47" spans="2:4">
      <c r="C47" s="2"/>
    </row>
    <row r="48" spans="2:4">
      <c r="C48" s="2"/>
    </row>
    <row r="49" spans="3:3">
      <c r="C49" s="2"/>
    </row>
    <row r="50" spans="3:3">
      <c r="C50" s="2"/>
    </row>
    <row r="51" spans="3:3">
      <c r="C51" s="2"/>
    </row>
    <row r="52" spans="3:3">
      <c r="C52" s="2"/>
    </row>
  </sheetData>
  <pageMargins left="0.7" right="0.7" top="0.75" bottom="0.75" header="0.3" footer="0.3"/>
  <pageSetup paperSize="0" orientation="portrait" horizontalDpi="0" verticalDpi="0" copies="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M163"/>
  <sheetViews>
    <sheetView topLeftCell="A4" zoomScale="115" zoomScaleNormal="115" workbookViewId="0">
      <selection activeCell="C152" sqref="C152"/>
    </sheetView>
  </sheetViews>
  <sheetFormatPr baseColWidth="10" defaultColWidth="12.42578125" defaultRowHeight="11.25"/>
  <cols>
    <col min="1" max="1" width="4.28515625" style="33" customWidth="1"/>
    <col min="2" max="2" width="26.7109375" style="33" customWidth="1"/>
    <col min="3" max="4" width="22.85546875" style="34" customWidth="1"/>
    <col min="5" max="9" width="20.7109375" style="33" customWidth="1"/>
    <col min="10" max="16384" width="12.42578125" style="33"/>
  </cols>
  <sheetData>
    <row r="2" spans="2:10" ht="21" thickBot="1">
      <c r="B2" s="22" t="s">
        <v>34</v>
      </c>
      <c r="C2" s="23"/>
      <c r="D2" s="24"/>
      <c r="E2" s="25"/>
      <c r="F2" s="24"/>
      <c r="G2" s="24"/>
      <c r="H2" s="24"/>
      <c r="I2" s="24"/>
    </row>
    <row r="3" spans="2:10">
      <c r="C3" s="33"/>
    </row>
    <row r="4" spans="2:10" ht="12">
      <c r="B4" s="32" t="s">
        <v>26</v>
      </c>
      <c r="C4" s="244" t="str">
        <f>modes</f>
        <v>Vehicle manufacturing (PLDV)</v>
      </c>
      <c r="D4" s="244"/>
    </row>
    <row r="5" spans="2:10">
      <c r="B5" s="32" t="s">
        <v>35</v>
      </c>
      <c r="C5" s="49" t="str">
        <f>+VLOOKUP(modes,Catalogues!C3:E28,3,FALSE)</f>
        <v>Homogeneous</v>
      </c>
      <c r="D5" s="35"/>
      <c r="F5" s="36"/>
      <c r="G5" s="36"/>
      <c r="H5" s="36"/>
      <c r="I5" s="36"/>
    </row>
    <row r="6" spans="2:10">
      <c r="B6" s="32" t="s">
        <v>27</v>
      </c>
      <c r="C6" s="41">
        <f>by</f>
        <v>0</v>
      </c>
      <c r="D6" s="35"/>
      <c r="G6" s="36"/>
      <c r="H6" s="36"/>
      <c r="I6" s="36"/>
    </row>
    <row r="7" spans="2:10">
      <c r="B7" s="32" t="s">
        <v>28</v>
      </c>
      <c r="C7" s="41">
        <f>ty</f>
        <v>0</v>
      </c>
      <c r="D7" s="35"/>
      <c r="G7" s="36"/>
      <c r="H7" s="36"/>
      <c r="I7" s="36"/>
    </row>
    <row r="8" spans="2:10">
      <c r="B8" s="32" t="s">
        <v>29</v>
      </c>
      <c r="C8" s="42">
        <f>activity_by</f>
        <v>0</v>
      </c>
      <c r="D8" s="35" t="str">
        <f>+Tool!D21</f>
        <v>units sold</v>
      </c>
      <c r="E8" s="37"/>
      <c r="G8" s="101"/>
      <c r="H8" s="101"/>
      <c r="I8" s="101"/>
      <c r="J8" s="101"/>
    </row>
    <row r="9" spans="2:10">
      <c r="B9" s="32" t="s">
        <v>30</v>
      </c>
      <c r="C9" s="42">
        <f>activity_ty</f>
        <v>0</v>
      </c>
      <c r="D9" s="35" t="str">
        <f>+D8</f>
        <v>units sold</v>
      </c>
      <c r="E9" s="37"/>
      <c r="G9" s="36"/>
      <c r="H9" s="36"/>
    </row>
    <row r="10" spans="2:10">
      <c r="B10" s="32" t="s">
        <v>195</v>
      </c>
      <c r="C10" s="42">
        <f>+Tool!C23</f>
        <v>0</v>
      </c>
      <c r="D10" s="35" t="s">
        <v>76</v>
      </c>
      <c r="G10" s="36"/>
      <c r="H10" s="38"/>
    </row>
    <row r="11" spans="2:10">
      <c r="B11" s="32" t="s">
        <v>196</v>
      </c>
      <c r="C11" s="42">
        <f>+Tool!C24</f>
        <v>0</v>
      </c>
      <c r="D11" s="35" t="s">
        <v>76</v>
      </c>
      <c r="F11" s="36"/>
      <c r="G11" s="36"/>
      <c r="H11" s="36"/>
    </row>
    <row r="12" spans="2:10">
      <c r="B12" s="32" t="s">
        <v>197</v>
      </c>
      <c r="C12" s="42">
        <f>+C10+C11</f>
        <v>0</v>
      </c>
      <c r="D12" s="35" t="s">
        <v>76</v>
      </c>
      <c r="F12" s="36"/>
      <c r="G12" s="36"/>
      <c r="H12" s="36"/>
    </row>
    <row r="13" spans="2:10" ht="10.5" customHeight="1">
      <c r="B13" s="32"/>
      <c r="C13" s="39"/>
      <c r="D13" s="33"/>
    </row>
    <row r="14" spans="2:10" hidden="1">
      <c r="B14" s="43"/>
      <c r="C14" s="44" t="s">
        <v>1</v>
      </c>
      <c r="D14" s="44" t="s">
        <v>2</v>
      </c>
      <c r="E14" s="245" t="s">
        <v>17</v>
      </c>
      <c r="F14" s="245"/>
      <c r="G14" s="245"/>
      <c r="H14" s="245"/>
      <c r="I14" s="245"/>
    </row>
    <row r="15" spans="2:10" hidden="1">
      <c r="B15" s="44" t="s">
        <v>81</v>
      </c>
      <c r="C15" s="45">
        <f>+by</f>
        <v>0</v>
      </c>
      <c r="D15" s="45">
        <f>+ty</f>
        <v>0</v>
      </c>
      <c r="E15" s="45">
        <v>2020</v>
      </c>
      <c r="F15" s="45">
        <v>2030</v>
      </c>
      <c r="G15" s="45">
        <v>2040</v>
      </c>
      <c r="H15" s="45">
        <v>2050</v>
      </c>
      <c r="I15" s="98">
        <v>2060</v>
      </c>
    </row>
    <row r="16" spans="2:10" hidden="1">
      <c r="B16" s="45" t="s">
        <v>18</v>
      </c>
      <c r="C16" s="46" t="e">
        <f>VLOOKUP(modes,S1Emissions_B2DS,by-2010+2,FALSE)+VLOOKUP(modes,S2Emissions_B2DS,by-2010+2,FALSE)</f>
        <v>#VALUE!</v>
      </c>
      <c r="D16" s="46" t="e">
        <f>VLOOKUP(modes,S1Emissions_B2DS,ty-2010+2,FALSE)+VLOOKUP(modes,S2Emissions_B2DS,ty-2010+2,FALSE)</f>
        <v>#VALUE!</v>
      </c>
      <c r="E16" s="46">
        <f>VLOOKUP(modes,S1Emissions_B2DS,E15-2010+2,FALSE)+VLOOKUP(modes,S2Emissions_B2DS,E15-2010+2,FALSE)</f>
        <v>47676491.048626333</v>
      </c>
      <c r="F16" s="46">
        <f>VLOOKUP(modes,S1Emissions_B2DS,F15-2010+2,FALSE)+VLOOKUP(modes,S2Emissions_B2DS,F15-2010+2,FALSE)</f>
        <v>29350793.975798998</v>
      </c>
      <c r="G16" s="46">
        <f>VLOOKUP(modes,S1Emissions_B2DS,G15-2010+2,FALSE)+VLOOKUP(modes,S2Emissions_B2DS,G15-2010+2,FALSE)</f>
        <v>16667015.723561496</v>
      </c>
      <c r="H16" s="46">
        <f>VLOOKUP(modes,S1Emissions_B2DS,H15-2010+2,FALSE)+VLOOKUP(modes,S2Emissions_B2DS,H15-2010+2,FALSE)</f>
        <v>0</v>
      </c>
      <c r="I16" s="93" t="e">
        <f>VLOOKUP(modes,S1Emissions_B2DS,I15-2010+2,FALSE)</f>
        <v>#REF!</v>
      </c>
    </row>
    <row r="17" spans="2:9" hidden="1">
      <c r="B17" s="45" t="s">
        <v>19</v>
      </c>
      <c r="C17" s="46" t="e">
        <f>VLOOKUP(modes,ACTIVITY_2DS,by-2010+2,FALSE)</f>
        <v>#VALUE!</v>
      </c>
      <c r="D17" s="46" t="e">
        <f>VLOOKUP(modes,ACTIVITY_2DS,ty-2010+2,FALSE)</f>
        <v>#VALUE!</v>
      </c>
      <c r="E17" s="46">
        <f>VLOOKUP(modes,ACTIVITY_2DS,E15-2010+2,FALSE)</f>
        <v>83985559.055593669</v>
      </c>
      <c r="F17" s="46">
        <f>VLOOKUP(modes,ACTIVITY_2DS,F15-2010+2,FALSE)</f>
        <v>99072970.926630884</v>
      </c>
      <c r="G17" s="46">
        <f>VLOOKUP(modes,ACTIVITY_2DS,G15-2010+2,FALSE)</f>
        <v>112117560.75600806</v>
      </c>
      <c r="H17" s="46">
        <f>VLOOKUP(modes,ACTIVITY_2DS,H15-2010+2,FALSE)</f>
        <v>0</v>
      </c>
      <c r="I17" s="93" t="e">
        <f>VLOOKUP(modes,ACTIVITY_2DS,I15-2010+2,FALSE)*10^9</f>
        <v>#REF!</v>
      </c>
    </row>
    <row r="18" spans="2:9" hidden="1">
      <c r="B18" s="45" t="s">
        <v>20</v>
      </c>
      <c r="C18" s="46" t="e">
        <f>IF($C$5="Homogeneous",VLOOKUP(modes,S1_Intensity_B2DS,by-2010+2,FALSE),0)</f>
        <v>#VALUE!</v>
      </c>
      <c r="D18" s="46" t="e">
        <f>IF($C$5="Homogeneous",VLOOKUP(modes,S1_Intensity_B2DS,ty-2010+2,FALSE),0)</f>
        <v>#VALUE!</v>
      </c>
      <c r="E18" s="46">
        <f>IF($C$5="Homogeneous",VLOOKUP(modes,S1_Intensity_B2DS,E15-2010+2,FALSE),0)</f>
        <v>196.92707039633675</v>
      </c>
      <c r="F18" s="46">
        <f>IF($C$5="Homogeneous",VLOOKUP(modes,S1_Intensity_B2DS,F15-2010+2,FALSE),0)</f>
        <v>134.10615453438064</v>
      </c>
      <c r="G18" s="46">
        <f>IF($C$5="Homogeneous",VLOOKUP(modes,S1_Intensity_B2DS,G15-2010+2,FALSE),0)</f>
        <v>105.05220412886523</v>
      </c>
      <c r="H18" s="46">
        <f>IF($C$5="Homogeneous",VLOOKUP(modes,S1_Intensity_B2DS,H15-2010+2,FALSE),0)</f>
        <v>0</v>
      </c>
      <c r="I18" s="93" t="e">
        <f>IF($C$5="Homogeneous",VLOOKUP(modes,S1_Intensity_B2DS,I15-2010+2,FALSE),0)</f>
        <v>#REF!</v>
      </c>
    </row>
    <row r="19" spans="2:9" hidden="1">
      <c r="B19" s="45" t="s">
        <v>21</v>
      </c>
      <c r="C19" s="47" t="e">
        <f>wtw_by</f>
        <v>#NAME?</v>
      </c>
      <c r="D19" s="47" t="e">
        <f>IF($C$5="Heterogeneous",wtw_by*(1-(ty-2010)*1.225%),D24*D23/1000/1000)</f>
        <v>#NAME?</v>
      </c>
      <c r="E19" s="46" t="e">
        <f>IF($C$5="Heterogeneous",wtw_by*(1-(E15-2010)*1.225%),E24*E23/1000/1000)</f>
        <v>#NAME?</v>
      </c>
      <c r="F19" s="46" t="e">
        <f>IF($C$5="Heterogeneous",wtw_by*(1-(F15-2010)*1.225%),F24*F23/1000/1000)</f>
        <v>#NAME?</v>
      </c>
      <c r="G19" s="46" t="e">
        <f>IF($C$5="Heterogeneous",wtw_by*(1-(G15-2010)*1.225%),G24*G23/1000/1000)</f>
        <v>#NAME?</v>
      </c>
      <c r="H19" s="46" t="e">
        <f>IF($C$5="Heterogeneous",wtw_by*(1-(H15-2010)*1.225%),H24*H23/1000/1000)</f>
        <v>#NAME?</v>
      </c>
      <c r="I19" s="93" t="e">
        <f>IF($C$5="Heterogeneous",wtw_by*I16/$C16,I24*I23/1000/1000)</f>
        <v>#NAME?</v>
      </c>
    </row>
    <row r="20" spans="2:9" hidden="1">
      <c r="B20" s="45" t="s">
        <v>15</v>
      </c>
      <c r="C20" s="46" t="e">
        <f t="shared" ref="C20:I20" si="0">$C24-$H18</f>
        <v>#NAME?</v>
      </c>
      <c r="D20" s="46" t="e">
        <f t="shared" si="0"/>
        <v>#NAME?</v>
      </c>
      <c r="E20" s="46" t="e">
        <f t="shared" si="0"/>
        <v>#NAME?</v>
      </c>
      <c r="F20" s="46" t="e">
        <f t="shared" si="0"/>
        <v>#NAME?</v>
      </c>
      <c r="G20" s="46" t="e">
        <f t="shared" si="0"/>
        <v>#NAME?</v>
      </c>
      <c r="H20" s="46" t="e">
        <f t="shared" si="0"/>
        <v>#NAME?</v>
      </c>
      <c r="I20" s="93" t="e">
        <f t="shared" si="0"/>
        <v>#NAME?</v>
      </c>
    </row>
    <row r="21" spans="2:9" hidden="1">
      <c r="B21" s="45" t="s">
        <v>22</v>
      </c>
      <c r="C21" s="46" t="e">
        <f>IF((C23/$C17)/(C23/C17)&lt;=1,(C23/$C17)/(C23/C17),1)</f>
        <v>#VALUE!</v>
      </c>
      <c r="D21" s="46" t="e">
        <f t="shared" ref="D21:I21" si="1">IF(($C23/$C17)/(D23/D17)&lt;=1,($C23/$C17)/(D23/D17),1)</f>
        <v>#VALUE!</v>
      </c>
      <c r="E21" s="46" t="e">
        <f t="shared" si="1"/>
        <v>#VALUE!</v>
      </c>
      <c r="F21" s="46" t="e">
        <f t="shared" si="1"/>
        <v>#VALUE!</v>
      </c>
      <c r="G21" s="46" t="e">
        <f t="shared" si="1"/>
        <v>#VALUE!</v>
      </c>
      <c r="H21" s="46" t="e">
        <f t="shared" si="1"/>
        <v>#VALUE!</v>
      </c>
      <c r="I21" s="93" t="e">
        <f t="shared" si="1"/>
        <v>#VALUE!</v>
      </c>
    </row>
    <row r="22" spans="2:9" hidden="1">
      <c r="B22" s="45" t="s">
        <v>23</v>
      </c>
      <c r="C22" s="46" t="e">
        <f t="shared" ref="C22:I22" si="2">(C18-$H18)/($C18-$H18)</f>
        <v>#VALUE!</v>
      </c>
      <c r="D22" s="46" t="e">
        <f t="shared" si="2"/>
        <v>#VALUE!</v>
      </c>
      <c r="E22" s="46" t="e">
        <f t="shared" si="2"/>
        <v>#VALUE!</v>
      </c>
      <c r="F22" s="46" t="e">
        <f t="shared" si="2"/>
        <v>#VALUE!</v>
      </c>
      <c r="G22" s="46" t="e">
        <f t="shared" si="2"/>
        <v>#VALUE!</v>
      </c>
      <c r="H22" s="46" t="e">
        <f t="shared" si="2"/>
        <v>#VALUE!</v>
      </c>
      <c r="I22" s="93" t="e">
        <f t="shared" si="2"/>
        <v>#REF!</v>
      </c>
    </row>
    <row r="23" spans="2:9" hidden="1">
      <c r="B23" s="45" t="s">
        <v>24</v>
      </c>
      <c r="C23" s="46">
        <f>IF($C$5="Homogeneous",activity_by,0)</f>
        <v>0</v>
      </c>
      <c r="D23" s="46">
        <f>IF($C$5="Homogeneous",activity_ty,activity_ty/activity_by)</f>
        <v>0</v>
      </c>
      <c r="E23" s="46" t="e">
        <f>IF($C$5="Homogeneous",(activity_ty-activity_by)/(ty-by)*(E15-by)+activity_by,((activity_ty-activity_by)/(ty-by)*(E15-by)+activity_by)/activity_by)</f>
        <v>#DIV/0!</v>
      </c>
      <c r="F23" s="46" t="e">
        <f>IF($C$5="Homogeneous",(activity_ty-activity_by)/(ty-by)*(F15-by)+activity_by,((activity_ty-activity_by)/(ty-by)*(F15-by)+activity_by)/activity_by)</f>
        <v>#DIV/0!</v>
      </c>
      <c r="G23" s="46" t="e">
        <f>IF($C$5="Homogeneous",(activity_ty-activity_by)/(ty-by)*(G15-by)+activity_by,((activity_ty-activity_by)/(ty-by)*(G15-by)+activity_by)/activity_by)</f>
        <v>#DIV/0!</v>
      </c>
      <c r="H23" s="46" t="e">
        <f>IF($C$5="Homogeneous",(activity_ty-activity_by)/(ty-by)*(H15-by)+activity_by,((activity_ty-activity_by)/(ty-by)*(H15-by)+activity_by)/activity_by)</f>
        <v>#DIV/0!</v>
      </c>
      <c r="I23" s="93" t="e">
        <f>IF($C$5="Homogeneous",(activity_ty-activity_by)/(ty-by)*(I15-by)+activity_by,((activity_ty-activity_by)/(ty-by)*(I15-by)+activity_by)/activity_by)</f>
        <v>#DIV/0!</v>
      </c>
    </row>
    <row r="24" spans="2:9" hidden="1">
      <c r="B24" s="45" t="s">
        <v>25</v>
      </c>
      <c r="C24" s="47" t="e">
        <f>IF($C$5="Homogeneous",C19/C23*1000000,IF($C$5="Fuel Economy",C23,1))</f>
        <v>#NAME?</v>
      </c>
      <c r="D24" s="47" t="e">
        <f t="shared" ref="D24:I24" si="3">(D20*D21*D22)+$H18</f>
        <v>#NAME?</v>
      </c>
      <c r="E24" s="46" t="e">
        <f t="shared" si="3"/>
        <v>#NAME?</v>
      </c>
      <c r="F24" s="46" t="e">
        <f t="shared" si="3"/>
        <v>#NAME?</v>
      </c>
      <c r="G24" s="46" t="e">
        <f t="shared" si="3"/>
        <v>#NAME?</v>
      </c>
      <c r="H24" s="46" t="e">
        <f t="shared" si="3"/>
        <v>#NAME?</v>
      </c>
      <c r="I24" s="93" t="e">
        <f t="shared" si="3"/>
        <v>#NAME?</v>
      </c>
    </row>
    <row r="25" spans="2:9" hidden="1">
      <c r="B25" s="40"/>
      <c r="C25" s="40"/>
      <c r="D25" s="40"/>
      <c r="E25" s="40"/>
      <c r="F25" s="40"/>
      <c r="G25" s="40"/>
      <c r="H25" s="40"/>
      <c r="I25" s="40"/>
    </row>
    <row r="26" spans="2:9" hidden="1">
      <c r="B26" s="43"/>
      <c r="C26" s="44" t="s">
        <v>1</v>
      </c>
      <c r="D26" s="44" t="s">
        <v>2</v>
      </c>
      <c r="E26" s="246" t="s">
        <v>17</v>
      </c>
      <c r="F26" s="247"/>
      <c r="G26" s="247"/>
      <c r="H26" s="247"/>
      <c r="I26" s="248"/>
    </row>
    <row r="27" spans="2:9" hidden="1">
      <c r="B27" s="44" t="s">
        <v>31</v>
      </c>
      <c r="C27" s="45">
        <f>+by</f>
        <v>0</v>
      </c>
      <c r="D27" s="45">
        <f>+ty</f>
        <v>0</v>
      </c>
      <c r="E27" s="45">
        <v>2020</v>
      </c>
      <c r="F27" s="45">
        <v>2030</v>
      </c>
      <c r="G27" s="45">
        <v>2040</v>
      </c>
      <c r="H27" s="45">
        <v>2050</v>
      </c>
      <c r="I27" s="98">
        <v>2060</v>
      </c>
    </row>
    <row r="28" spans="2:9" hidden="1">
      <c r="B28" s="45" t="s">
        <v>18</v>
      </c>
      <c r="C28" s="46" t="e">
        <f>VLOOKUP(modes,WTWEmissions_B2DS,by-2010+2,FALSE)</f>
        <v>#VALUE!</v>
      </c>
      <c r="D28" s="46" t="e">
        <f>VLOOKUP(modes,WTWEmissions_B2DS,ty-2010+2,FALSE)</f>
        <v>#VALUE!</v>
      </c>
      <c r="E28" s="46">
        <f>VLOOKUP(modes,WTWEmissions_B2DS,E27-2010+2,FALSE)</f>
        <v>17939617.932071272</v>
      </c>
      <c r="F28" s="46">
        <f>VLOOKUP(modes,WTWEmissions_B2DS,F27-2010+2,FALSE)</f>
        <v>15362248.420692373</v>
      </c>
      <c r="G28" s="46">
        <f>VLOOKUP(modes,WTWEmissions_B2DS,G27-2010+2,FALSE)</f>
        <v>13413785.695626784</v>
      </c>
      <c r="H28" s="46">
        <f>VLOOKUP(modes,WTWEmissions_B2DS,H27-2010+2,FALSE)</f>
        <v>12157683.501326595</v>
      </c>
      <c r="I28" s="93">
        <f>VLOOKUP(modes,WTWEmissions_B2DS,I27-2010+2,FALSE)</f>
        <v>0</v>
      </c>
    </row>
    <row r="29" spans="2:9" hidden="1">
      <c r="B29" s="45" t="s">
        <v>19</v>
      </c>
      <c r="C29" s="46" t="e">
        <f>VLOOKUP(modes,ACTIVITY_B2DS,by-2010+2,FALSE)*10^9</f>
        <v>#VALUE!</v>
      </c>
      <c r="D29" s="46" t="e">
        <f>VLOOKUP(modes,ACTIVITY_B2DS,ty-2010+2,FALSE)*10^9</f>
        <v>#VALUE!</v>
      </c>
      <c r="E29" s="46">
        <f>VLOOKUP(modes,ACTIVITY_B2DS,E27-2010+2,FALSE)*10^9</f>
        <v>56403780891882.578</v>
      </c>
      <c r="F29" s="46">
        <f>VLOOKUP(modes,ACTIVITY_B2DS,F27-2010+2,FALSE)*10^9</f>
        <v>66816896440861.805</v>
      </c>
      <c r="G29" s="46">
        <f>VLOOKUP(modes,ACTIVITY_B2DS,G27-2010+2,FALSE)*10^9</f>
        <v>78435950697371.437</v>
      </c>
      <c r="H29" s="46">
        <f>VLOOKUP(modes,ACTIVITY_B2DS,H27-2010+2,FALSE)*10^9</f>
        <v>94808233795845.797</v>
      </c>
      <c r="I29" s="93">
        <f>VLOOKUP(modes,ACTIVITY_B2DS,I27-2010+2,FALSE)*10^9</f>
        <v>0</v>
      </c>
    </row>
    <row r="30" spans="2:9" hidden="1">
      <c r="B30" s="45" t="s">
        <v>20</v>
      </c>
      <c r="C30" s="46" t="e">
        <f>IF($C$5="Homogeneous",VLOOKUP(modes,WTWIntensity_B2DS,by-2010+2,FALSE),0)</f>
        <v>#VALUE!</v>
      </c>
      <c r="D30" s="46" t="e">
        <f>IF($C$5="Homogeneous",VLOOKUP(modes,WTWIntensity_B2DS,ty-2010+2,FALSE),0)</f>
        <v>#VALUE!</v>
      </c>
      <c r="E30" s="46">
        <f>IF($C$5="Homogeneous",VLOOKUP(modes,WTWIntensity_B2DS,E27-2010+2,FALSE),0)</f>
        <v>91.346306370435585</v>
      </c>
      <c r="F30" s="46">
        <f>IF($C$5="Homogeneous",VLOOKUP(modes,WTWIntensity_B2DS,F27-2010+2,FALSE),0)</f>
        <v>60.208626843523753</v>
      </c>
      <c r="G30" s="46">
        <f>IF($C$5="Homogeneous",VLOOKUP(modes,WTWIntensity_B2DS,G27-2010+2,FALSE),0)</f>
        <v>30.378064571144883</v>
      </c>
      <c r="H30" s="46">
        <f>IF($C$5="Homogeneous",VLOOKUP(modes,WTWIntensity_B2DS,H27-2010+2,FALSE),0)</f>
        <v>11.582862863587623</v>
      </c>
      <c r="I30" s="93">
        <f>IF($C$5="Homogeneous",VLOOKUP(modes,WTWIntensity_B2DS,I27-2010+2,FALSE),0)</f>
        <v>0</v>
      </c>
    </row>
    <row r="31" spans="2:9" hidden="1">
      <c r="B31" s="45" t="s">
        <v>21</v>
      </c>
      <c r="C31" s="47" t="e">
        <f>wtw_by</f>
        <v>#NAME?</v>
      </c>
      <c r="D31" s="47" t="e">
        <f>IF($C$5="Heterogeneous",wtw_by*(1-(ty-2010)*1.8%),D36*D35/1000/1000)</f>
        <v>#NAME?</v>
      </c>
      <c r="E31" s="46" t="e">
        <f>IF($C$5="Heterogeneous",wtw_by*(1-(E27-2010)*1.8%),E36*E35/1000/1000)</f>
        <v>#NAME?</v>
      </c>
      <c r="F31" s="46" t="e">
        <f>IF($C$5="Heterogeneous",wtw_by*(1-(F27-2010)*1.8%),F36*F35/1000/1000)</f>
        <v>#NAME?</v>
      </c>
      <c r="G31" s="46" t="e">
        <f>IF($C$5="Heterogeneous",wtw_by*(1-(G27-2010)*1.8%),G36*G35/1000/1000)</f>
        <v>#NAME?</v>
      </c>
      <c r="H31" s="46" t="e">
        <f>IF($C$5="Heterogeneous",wtw_by*(1-(H27-2010)*1.8%),H36*H35/1000/1000)</f>
        <v>#NAME?</v>
      </c>
      <c r="I31" s="93" t="e">
        <f>IF($C$5="Heterogeneous",wtw_by*I28/$C28,I36*I35/1000/1000)</f>
        <v>#NAME?</v>
      </c>
    </row>
    <row r="32" spans="2:9" hidden="1">
      <c r="B32" s="45" t="s">
        <v>15</v>
      </c>
      <c r="C32" s="46" t="e">
        <f t="shared" ref="C32:I32" si="4">$C36-$H30</f>
        <v>#NAME?</v>
      </c>
      <c r="D32" s="46" t="e">
        <f t="shared" si="4"/>
        <v>#NAME?</v>
      </c>
      <c r="E32" s="46" t="e">
        <f t="shared" si="4"/>
        <v>#NAME?</v>
      </c>
      <c r="F32" s="46" t="e">
        <f t="shared" si="4"/>
        <v>#NAME?</v>
      </c>
      <c r="G32" s="46" t="e">
        <f t="shared" si="4"/>
        <v>#NAME?</v>
      </c>
      <c r="H32" s="46" t="e">
        <f t="shared" si="4"/>
        <v>#NAME?</v>
      </c>
      <c r="I32" s="93" t="e">
        <f t="shared" si="4"/>
        <v>#NAME?</v>
      </c>
    </row>
    <row r="33" spans="2:9" hidden="1">
      <c r="B33" s="45" t="s">
        <v>22</v>
      </c>
      <c r="C33" s="46" t="e">
        <f>IF((C35/$C29)/(C35/C29)&lt;=1,(C35/$C29)/(C35/C29),1)</f>
        <v>#VALUE!</v>
      </c>
      <c r="D33" s="46" t="e">
        <f t="shared" ref="D33:I33" si="5">IF(($C35/$C29)/(D35/D29)&lt;=1,($C35/$C29)/(D35/D29),1)</f>
        <v>#VALUE!</v>
      </c>
      <c r="E33" s="46" t="e">
        <f t="shared" si="5"/>
        <v>#VALUE!</v>
      </c>
      <c r="F33" s="46" t="e">
        <f t="shared" si="5"/>
        <v>#VALUE!</v>
      </c>
      <c r="G33" s="46" t="e">
        <f t="shared" si="5"/>
        <v>#VALUE!</v>
      </c>
      <c r="H33" s="46" t="e">
        <f t="shared" si="5"/>
        <v>#VALUE!</v>
      </c>
      <c r="I33" s="93" t="e">
        <f t="shared" si="5"/>
        <v>#VALUE!</v>
      </c>
    </row>
    <row r="34" spans="2:9" hidden="1">
      <c r="B34" s="45" t="s">
        <v>23</v>
      </c>
      <c r="C34" s="46" t="e">
        <f t="shared" ref="C34:I34" si="6">(C30-$H30)/($C30-$H30)</f>
        <v>#VALUE!</v>
      </c>
      <c r="D34" s="46" t="e">
        <f t="shared" si="6"/>
        <v>#VALUE!</v>
      </c>
      <c r="E34" s="46" t="e">
        <f t="shared" si="6"/>
        <v>#VALUE!</v>
      </c>
      <c r="F34" s="46" t="e">
        <f t="shared" si="6"/>
        <v>#VALUE!</v>
      </c>
      <c r="G34" s="46" t="e">
        <f t="shared" si="6"/>
        <v>#VALUE!</v>
      </c>
      <c r="H34" s="46" t="e">
        <f t="shared" si="6"/>
        <v>#VALUE!</v>
      </c>
      <c r="I34" s="93" t="e">
        <f t="shared" si="6"/>
        <v>#VALUE!</v>
      </c>
    </row>
    <row r="35" spans="2:9" hidden="1">
      <c r="B35" s="45" t="s">
        <v>24</v>
      </c>
      <c r="C35" s="46">
        <f>IF($C$5="Homogeneous",activity_by,0)</f>
        <v>0</v>
      </c>
      <c r="D35" s="46">
        <f>IF($C$5="Homogeneous",activity_ty,activity_ty/activity_by)</f>
        <v>0</v>
      </c>
      <c r="E35" s="46" t="e">
        <f>IF($C$5="Homogeneous",(activity_ty-activity_by)/(ty-by)*(E27-by)+activity_by,((activity_ty-activity_by)/(ty-by)*(E27-by)+activity_by)/activity_by)</f>
        <v>#DIV/0!</v>
      </c>
      <c r="F35" s="46" t="e">
        <f>IF($C$5="Homogeneous",(activity_ty-activity_by)/(ty-by)*(F27-by)+activity_by,((activity_ty-activity_by)/(ty-by)*(F27-by)+activity_by)/activity_by)</f>
        <v>#DIV/0!</v>
      </c>
      <c r="G35" s="46" t="e">
        <f>IF($C$5="Homogeneous",(activity_ty-activity_by)/(ty-by)*(G27-by)+activity_by,((activity_ty-activity_by)/(ty-by)*(G27-by)+activity_by)/activity_by)</f>
        <v>#DIV/0!</v>
      </c>
      <c r="H35" s="46" t="e">
        <f>IF($C$5="Homogeneous",(activity_ty-activity_by)/(ty-by)*(H27-by)+activity_by,((activity_ty-activity_by)/(ty-by)*(H27-by)+activity_by)/activity_by)</f>
        <v>#DIV/0!</v>
      </c>
      <c r="I35" s="93" t="e">
        <f>IF($C$5="Homogeneous",(activity_ty-activity_by)/(ty-by)*(I27-by)+activity_by,((activity_ty-activity_by)/(ty-by)*(I27-by)+activity_by)/activity_by)</f>
        <v>#DIV/0!</v>
      </c>
    </row>
    <row r="36" spans="2:9" hidden="1">
      <c r="B36" s="45" t="s">
        <v>25</v>
      </c>
      <c r="C36" s="47" t="e">
        <f>IF($C$5="Homogeneous",C31/C35*1000000,IF($C$5="Fuel Economy",C35,1))</f>
        <v>#NAME?</v>
      </c>
      <c r="D36" s="47" t="e">
        <f t="shared" ref="D36:I36" si="7">(D32*D33*D34)+$H30</f>
        <v>#NAME?</v>
      </c>
      <c r="E36" s="46" t="e">
        <f t="shared" si="7"/>
        <v>#NAME?</v>
      </c>
      <c r="F36" s="46" t="e">
        <f t="shared" si="7"/>
        <v>#NAME?</v>
      </c>
      <c r="G36" s="46" t="e">
        <f t="shared" si="7"/>
        <v>#NAME?</v>
      </c>
      <c r="H36" s="46" t="e">
        <f t="shared" si="7"/>
        <v>#NAME?</v>
      </c>
      <c r="I36" s="93" t="e">
        <f t="shared" si="7"/>
        <v>#NAME?</v>
      </c>
    </row>
    <row r="37" spans="2:9" hidden="1">
      <c r="C37" s="33"/>
      <c r="D37" s="33"/>
    </row>
    <row r="38" spans="2:9" hidden="1">
      <c r="B38" s="43"/>
      <c r="C38" s="44" t="s">
        <v>1</v>
      </c>
      <c r="D38" s="44" t="s">
        <v>2</v>
      </c>
      <c r="E38" s="245" t="s">
        <v>17</v>
      </c>
      <c r="F38" s="245"/>
      <c r="G38" s="245"/>
      <c r="H38" s="245"/>
      <c r="I38" s="245"/>
    </row>
    <row r="39" spans="2:9" hidden="1">
      <c r="B39" s="44" t="s">
        <v>33</v>
      </c>
      <c r="C39" s="45">
        <f>+by</f>
        <v>0</v>
      </c>
      <c r="D39" s="45">
        <f>+ty</f>
        <v>0</v>
      </c>
      <c r="E39" s="45">
        <v>2020</v>
      </c>
      <c r="F39" s="45">
        <v>2030</v>
      </c>
      <c r="G39" s="45">
        <v>2040</v>
      </c>
      <c r="H39" s="45">
        <v>2050</v>
      </c>
      <c r="I39" s="98">
        <v>2060</v>
      </c>
    </row>
    <row r="40" spans="2:9" hidden="1">
      <c r="B40" s="45" t="s">
        <v>18</v>
      </c>
      <c r="C40" s="46" t="e">
        <f>VLOOKUP(modes,S2Emissions_B2DS,by-2010+2,FALSE)</f>
        <v>#VALUE!</v>
      </c>
      <c r="D40" s="46" t="e">
        <f>VLOOKUP(modes,S2Emissions_B2DS,ty-2010+2,FALSE)</f>
        <v>#VALUE!</v>
      </c>
      <c r="E40" s="46">
        <f>VLOOKUP(modes,S2Emissions_B2DS,E39-2010+2,FALSE)</f>
        <v>31137460.948209744</v>
      </c>
      <c r="F40" s="46">
        <f>VLOOKUP(modes,S2Emissions_B2DS,F39-2010+2,FALSE)</f>
        <v>16064498.826532038</v>
      </c>
      <c r="G40" s="46">
        <f>VLOOKUP(modes,S2Emissions_B2DS,G39-2010+2,FALSE)</f>
        <v>4888818.8445908865</v>
      </c>
      <c r="H40" s="46">
        <f>VLOOKUP(modes,S2Emissions_B2DS,H39-2010+2,FALSE)</f>
        <v>0</v>
      </c>
      <c r="I40" s="93" t="e">
        <f>VLOOKUP(modes,S2Emissions_B2DS,I39-2010+2,FALSE)</f>
        <v>#REF!</v>
      </c>
    </row>
    <row r="41" spans="2:9" hidden="1">
      <c r="B41" s="45" t="s">
        <v>19</v>
      </c>
      <c r="C41" s="46" t="e">
        <f>VLOOKUP(modes,ACTIVITY_2DS,by-2010+2,FALSE)*10^9</f>
        <v>#VALUE!</v>
      </c>
      <c r="D41" s="46" t="e">
        <f>VLOOKUP(modes,ACTIVITY_2DS,ty-2010+2,FALSE)*10^9</f>
        <v>#VALUE!</v>
      </c>
      <c r="E41" s="46">
        <f>VLOOKUP(modes,ACTIVITY_2DS,E39-2010+2,FALSE)*10^9</f>
        <v>8.3985559055593664E+16</v>
      </c>
      <c r="F41" s="46">
        <f>VLOOKUP(modes,ACTIVITY_2DS,F39-2010+2,FALSE)*10^9</f>
        <v>9.907297092663088E+16</v>
      </c>
      <c r="G41" s="46">
        <f>VLOOKUP(modes,ACTIVITY_2DS,G39-2010+2,FALSE)*10^9</f>
        <v>1.1211756075600806E+17</v>
      </c>
      <c r="H41" s="46">
        <f>VLOOKUP(modes,ACTIVITY_2DS,H39-2010+2,FALSE)*10^9</f>
        <v>0</v>
      </c>
      <c r="I41" s="93" t="e">
        <f>VLOOKUP(modes,ACTIVITY_2DS,I39-2010+2,FALSE)*10^9</f>
        <v>#REF!</v>
      </c>
    </row>
    <row r="42" spans="2:9" hidden="1">
      <c r="B42" s="45" t="s">
        <v>20</v>
      </c>
      <c r="C42" s="46" t="e">
        <f>IF($C$5="Homogeneous",VLOOKUP(modes,WTTIntensity_2DS,by-2010+2,FALSE),0)</f>
        <v>#VALUE!</v>
      </c>
      <c r="D42" s="46" t="e">
        <f>IF($C$5="Homogeneous",VLOOKUP(modes,WTTIntensity_2DS,ty-2010+2,FALSE),0)</f>
        <v>#VALUE!</v>
      </c>
      <c r="E42" s="46">
        <f>IF($C$5="Homogeneous",VLOOKUP(modes,WTTIntensity_2DS,E39-2010+2,FALSE),0)</f>
        <v>370.74779638721594</v>
      </c>
      <c r="F42" s="46">
        <f>IF($C$5="Homogeneous",VLOOKUP(modes,WTTIntensity_2DS,F39-2010+2,FALSE),0)</f>
        <v>162.14814874612676</v>
      </c>
      <c r="G42" s="46">
        <f>IF($C$5="Homogeneous",VLOOKUP(modes,WTTIntensity_2DS,G39-2010+2,FALSE),0)</f>
        <v>43.604398915081724</v>
      </c>
      <c r="H42" s="46">
        <f>IF($C$5="Homogeneous",VLOOKUP(modes,WTTIntensity_2DS,H39-2010+2,FALSE),0)</f>
        <v>0</v>
      </c>
      <c r="I42" s="93" t="e">
        <f>IF($C$5="Homogeneous",VLOOKUP(modes,WTTIntensity_2DS,I39-2010+2,FALSE),0)</f>
        <v>#REF!</v>
      </c>
    </row>
    <row r="43" spans="2:9" hidden="1">
      <c r="B43" s="45" t="s">
        <v>21</v>
      </c>
      <c r="C43" s="47" t="e">
        <f>wtt_by</f>
        <v>#NAME?</v>
      </c>
      <c r="D43" s="47" t="str">
        <f>IF($C$5="Heterogeneous",wtt_by*D40/$C40,IF(ISNUMBER(wtt_by)=TRUE,D48*D47/1000/1000,""))</f>
        <v/>
      </c>
      <c r="E43" s="47" t="str">
        <f>IF($C$5="Heterogeneous",wtt_by*E40/$C40,IF(ISNUMBER(wtt_by)=TRUE,E48*E47/1000/1000,""))</f>
        <v/>
      </c>
      <c r="F43" s="47" t="str">
        <f>IF($C$5="Heterogeneous",wtt_by*F40/$C40,IF(ISNUMBER(wtt_by)=TRUE,F48*F47/1000/1000,""))</f>
        <v/>
      </c>
      <c r="G43" s="47" t="str">
        <f>IF($C$5="Heterogeneous",wtt_by*G40/$C40,IF(ISNUMBER(wtt_by)=TRUE,G48*G47/1000/1000,""))</f>
        <v/>
      </c>
      <c r="H43" s="47" t="str">
        <f>IF($C$5="Heterogeneous",wtt_by*H40/$C40,IF(ISNUMBER(wtt_by)=TRUE,H48*H47/1000/1000,""))</f>
        <v/>
      </c>
      <c r="I43" s="93" t="e">
        <f>IF($C$5="Heterogeneous",wtt_by*I40/$C40,I48*I47/1000/1000)</f>
        <v>#NAME?</v>
      </c>
    </row>
    <row r="44" spans="2:9" hidden="1">
      <c r="B44" s="45" t="s">
        <v>15</v>
      </c>
      <c r="C44" s="46" t="e">
        <f t="shared" ref="C44:I44" si="8">$C48-$H42</f>
        <v>#NAME?</v>
      </c>
      <c r="D44" s="46" t="e">
        <f t="shared" si="8"/>
        <v>#NAME?</v>
      </c>
      <c r="E44" s="46" t="e">
        <f t="shared" si="8"/>
        <v>#NAME?</v>
      </c>
      <c r="F44" s="46" t="e">
        <f t="shared" si="8"/>
        <v>#NAME?</v>
      </c>
      <c r="G44" s="46" t="e">
        <f t="shared" si="8"/>
        <v>#NAME?</v>
      </c>
      <c r="H44" s="46" t="e">
        <f t="shared" si="8"/>
        <v>#NAME?</v>
      </c>
      <c r="I44" s="93" t="e">
        <f t="shared" si="8"/>
        <v>#NAME?</v>
      </c>
    </row>
    <row r="45" spans="2:9" hidden="1">
      <c r="B45" s="45" t="s">
        <v>22</v>
      </c>
      <c r="C45" s="46" t="e">
        <f>IF((C47/$C41)/(C47/C41)&lt;=1,(C47/$C41)/(C47/C41),1)</f>
        <v>#VALUE!</v>
      </c>
      <c r="D45" s="46" t="e">
        <f t="shared" ref="D45:I45" si="9">IF(($C47/$C41)/(D47/D41)&lt;=1,($C47/$C41)/(D47/D41),1)</f>
        <v>#VALUE!</v>
      </c>
      <c r="E45" s="46" t="e">
        <f t="shared" si="9"/>
        <v>#VALUE!</v>
      </c>
      <c r="F45" s="46" t="e">
        <f t="shared" si="9"/>
        <v>#VALUE!</v>
      </c>
      <c r="G45" s="46" t="e">
        <f t="shared" si="9"/>
        <v>#VALUE!</v>
      </c>
      <c r="H45" s="46" t="e">
        <f t="shared" si="9"/>
        <v>#VALUE!</v>
      </c>
      <c r="I45" s="93" t="e">
        <f t="shared" si="9"/>
        <v>#VALUE!</v>
      </c>
    </row>
    <row r="46" spans="2:9" hidden="1">
      <c r="B46" s="45" t="s">
        <v>23</v>
      </c>
      <c r="C46" s="46" t="e">
        <f t="shared" ref="C46:I46" si="10">(C42-$H42)/($C42-$H42)</f>
        <v>#VALUE!</v>
      </c>
      <c r="D46" s="46" t="e">
        <f t="shared" si="10"/>
        <v>#VALUE!</v>
      </c>
      <c r="E46" s="46" t="e">
        <f t="shared" si="10"/>
        <v>#VALUE!</v>
      </c>
      <c r="F46" s="46" t="e">
        <f t="shared" si="10"/>
        <v>#VALUE!</v>
      </c>
      <c r="G46" s="46" t="e">
        <f t="shared" si="10"/>
        <v>#VALUE!</v>
      </c>
      <c r="H46" s="46" t="e">
        <f t="shared" si="10"/>
        <v>#VALUE!</v>
      </c>
      <c r="I46" s="93" t="e">
        <f t="shared" si="10"/>
        <v>#REF!</v>
      </c>
    </row>
    <row r="47" spans="2:9" hidden="1">
      <c r="B47" s="45" t="s">
        <v>24</v>
      </c>
      <c r="C47" s="46">
        <f>IF($C$5="Homogeneous",activity_by,0)</f>
        <v>0</v>
      </c>
      <c r="D47" s="46">
        <f>IF($C$5="Homogeneous",activity_ty,activity_ty/activity_by)</f>
        <v>0</v>
      </c>
      <c r="E47" s="46" t="e">
        <f>IF($C$5="Homogeneous",(activity_ty-activity_by)/(ty-by)*(E39-by)+activity_by,((activity_ty-activity_by)/(ty-by)*(E39-by)+activity_by)/activity_by)</f>
        <v>#DIV/0!</v>
      </c>
      <c r="F47" s="46" t="e">
        <f>IF($C$5="Homogeneous",(activity_ty-activity_by)/(ty-by)*(F39-by)+activity_by,((activity_ty-activity_by)/(ty-by)*(F39-by)+activity_by)/activity_by)</f>
        <v>#DIV/0!</v>
      </c>
      <c r="G47" s="46" t="e">
        <f>IF($C$5="Homogeneous",(activity_ty-activity_by)/(ty-by)*(G39-by)+activity_by,((activity_ty-activity_by)/(ty-by)*(G39-by)+activity_by)/activity_by)</f>
        <v>#DIV/0!</v>
      </c>
      <c r="H47" s="46" t="e">
        <f>IF($C$5="Homogeneous",(activity_ty-activity_by)/(ty-by)*(H39-by)+activity_by,((activity_ty-activity_by)/(ty-by)*(H39-by)+activity_by)/activity_by)</f>
        <v>#DIV/0!</v>
      </c>
      <c r="I47" s="93" t="e">
        <f>IF($C$5="Homogeneous",(activity_ty-activity_by)/(ty-by)*(I39-by)+activity_by,((activity_ty-activity_by)/(ty-by)*(I39-by)+activity_by)/activity_by)</f>
        <v>#DIV/0!</v>
      </c>
    </row>
    <row r="48" spans="2:9" hidden="1">
      <c r="B48" s="45" t="s">
        <v>25</v>
      </c>
      <c r="C48" s="47" t="e">
        <f>IF($C$5="Homogeneous",C43/C47*1000000,IF($C$5="Fuel Economy",C47,1))</f>
        <v>#NAME?</v>
      </c>
      <c r="D48" s="47" t="e">
        <f t="shared" ref="D48:I48" si="11">(D44*D45*D46)+$H42</f>
        <v>#NAME?</v>
      </c>
      <c r="E48" s="46" t="e">
        <f t="shared" si="11"/>
        <v>#NAME?</v>
      </c>
      <c r="F48" s="46" t="e">
        <f t="shared" si="11"/>
        <v>#NAME?</v>
      </c>
      <c r="G48" s="46" t="e">
        <f t="shared" si="11"/>
        <v>#NAME?</v>
      </c>
      <c r="H48" s="46" t="e">
        <f t="shared" si="11"/>
        <v>#NAME?</v>
      </c>
      <c r="I48" s="93" t="e">
        <f t="shared" si="11"/>
        <v>#NAME?</v>
      </c>
    </row>
    <row r="49" spans="1:9" hidden="1">
      <c r="C49" s="33"/>
      <c r="D49" s="33"/>
    </row>
    <row r="50" spans="1:9" hidden="1">
      <c r="B50" s="43"/>
      <c r="C50" s="44" t="s">
        <v>1</v>
      </c>
      <c r="D50" s="44" t="s">
        <v>2</v>
      </c>
      <c r="E50" s="245" t="s">
        <v>17</v>
      </c>
      <c r="F50" s="245"/>
      <c r="G50" s="245"/>
      <c r="H50" s="245"/>
      <c r="I50" s="245"/>
    </row>
    <row r="51" spans="1:9" hidden="1">
      <c r="B51" s="44" t="s">
        <v>32</v>
      </c>
      <c r="C51" s="45">
        <f>+by</f>
        <v>0</v>
      </c>
      <c r="D51" s="45">
        <f>+ty</f>
        <v>0</v>
      </c>
      <c r="E51" s="45">
        <v>2020</v>
      </c>
      <c r="F51" s="45">
        <v>2030</v>
      </c>
      <c r="G51" s="45">
        <v>2040</v>
      </c>
      <c r="H51" s="45">
        <v>2050</v>
      </c>
      <c r="I51" s="98">
        <v>2060</v>
      </c>
    </row>
    <row r="52" spans="1:9" hidden="1">
      <c r="B52" s="45" t="s">
        <v>18</v>
      </c>
      <c r="C52" s="46" t="e">
        <f>VLOOKUP(modes,WTTEmissions_B2DS,by-2010+2,FALSE)</f>
        <v>#VALUE!</v>
      </c>
      <c r="D52" s="46" t="e">
        <f>VLOOKUP(modes,WTTEmissions_B2DS,ty-2010+2,FALSE)</f>
        <v>#VALUE!</v>
      </c>
      <c r="E52" s="46">
        <f>VLOOKUP(modes,WTTEmissions_B2DS,E51-2010+2,FALSE)</f>
        <v>843.28541180886509</v>
      </c>
      <c r="F52" s="46">
        <f>VLOOKUP(modes,WTTEmissions_B2DS,F51-2010+2,FALSE)</f>
        <v>659.88184940992267</v>
      </c>
      <c r="G52" s="46">
        <f>VLOOKUP(modes,WTTEmissions_B2DS,G51-2010+2,FALSE)</f>
        <v>112.47890789780323</v>
      </c>
      <c r="H52" s="46">
        <f>VLOOKUP(modes,WTTEmissions_B2DS,H51-2010+2,FALSE)</f>
        <v>-411.20713789068964</v>
      </c>
      <c r="I52" s="93">
        <f>VLOOKUP(modes,WTTEmissions_B2DS,I51-2010+2,FALSE)</f>
        <v>0</v>
      </c>
    </row>
    <row r="53" spans="1:9" hidden="1">
      <c r="B53" s="45" t="s">
        <v>19</v>
      </c>
      <c r="C53" s="46" t="e">
        <f>VLOOKUP(modes,ACTIVITY_B2DS,by-2010+2,FALSE)*10^9</f>
        <v>#VALUE!</v>
      </c>
      <c r="D53" s="46" t="e">
        <f>VLOOKUP(modes,ACTIVITY_B2DS,ty-2010+2,FALSE)*10^9</f>
        <v>#VALUE!</v>
      </c>
      <c r="E53" s="46">
        <f>VLOOKUP(modes,ACTIVITY_B2DS,E51-2010+2,FALSE)*10^9</f>
        <v>56403780891882.578</v>
      </c>
      <c r="F53" s="46">
        <f>VLOOKUP(modes,ACTIVITY_B2DS,F51-2010+2,FALSE)*10^9</f>
        <v>66816896440861.805</v>
      </c>
      <c r="G53" s="46">
        <f>VLOOKUP(modes,ACTIVITY_B2DS,G51-2010+2,FALSE)*10^9</f>
        <v>78435950697371.437</v>
      </c>
      <c r="H53" s="46">
        <f>VLOOKUP(modes,ACTIVITY_B2DS,H51-2010+2,FALSE)*10^9</f>
        <v>94808233795845.797</v>
      </c>
      <c r="I53" s="93">
        <f>VLOOKUP(modes,ACTIVITY_B2DS,I51-2010+2,FALSE)*10^9</f>
        <v>0</v>
      </c>
    </row>
    <row r="54" spans="1:9" hidden="1">
      <c r="B54" s="45" t="s">
        <v>20</v>
      </c>
      <c r="C54" s="46" t="e">
        <f>IF($C$5="Homogeneous",VLOOKUP(modes,WTTIntensity_B2DS,by-2010+2,FALSE),0)</f>
        <v>#VALUE!</v>
      </c>
      <c r="D54" s="46" t="e">
        <f>IF($C$5="Homogeneous",VLOOKUP(modes,WTTIntensity_B2DS,ty-2010+2,FALSE),0)</f>
        <v>#VALUE!</v>
      </c>
      <c r="E54" s="46">
        <f>IF($C$5="Homogeneous",VLOOKUP(modes,WTTIntensity_B2DS,E51-2010+2,FALSE),0)</f>
        <v>14.950866741102237</v>
      </c>
      <c r="F54" s="46">
        <f>IF($C$5="Homogeneous",VLOOKUP(modes,WTTIntensity_B2DS,F51-2010+2,FALSE),0)</f>
        <v>9.8759727637749517</v>
      </c>
      <c r="G54" s="46">
        <f>IF($C$5="Homogeneous",VLOOKUP(modes,WTTIntensity_B2DS,G51-2010+2,FALSE),0)</f>
        <v>1.434022369815843</v>
      </c>
      <c r="H54" s="46">
        <f>IF($C$5="Homogeneous",VLOOKUP(modes,WTTIntensity_B2DS,H51-2010+2,FALSE),0)</f>
        <v>-4.3372513275182172</v>
      </c>
      <c r="I54" s="93">
        <f>IF($C$5="Homogeneous",VLOOKUP(modes,WTTIntensity_B2DS,I51-2010+2,FALSE),0)</f>
        <v>0</v>
      </c>
    </row>
    <row r="55" spans="1:9" hidden="1">
      <c r="B55" s="45" t="s">
        <v>21</v>
      </c>
      <c r="C55" s="47" t="e">
        <f>wtt_by</f>
        <v>#NAME?</v>
      </c>
      <c r="D55" s="47" t="str">
        <f>IF($C$5="Heterogeneous",wtt_by*D52/$C52,IF(ISNUMBER(wtt_by)=TRUE,D60*D59/1000/1000,""))</f>
        <v/>
      </c>
      <c r="E55" s="47" t="str">
        <f>IF($C$5="Heterogeneous",wtt_by*E52/$C52,IF(ISNUMBER(wtt_by)=TRUE,E60*E59/1000/1000,""))</f>
        <v/>
      </c>
      <c r="F55" s="47" t="str">
        <f>IF($C$5="Heterogeneous",wtt_by*F52/$C52,IF(ISNUMBER(wtt_by)=TRUE,F60*F59/1000/1000,""))</f>
        <v/>
      </c>
      <c r="G55" s="47" t="str">
        <f>IF($C$5="Heterogeneous",wtt_by*G52/$C52,IF(ISNUMBER(wtt_by)=TRUE,G60*G59/1000/1000,""))</f>
        <v/>
      </c>
      <c r="H55" s="47" t="str">
        <f>IF($C$5="Heterogeneous",wtt_by*H52/$C52,IF(ISNUMBER(wtt_by)=TRUE,H60*H59/1000/1000,""))</f>
        <v/>
      </c>
      <c r="I55" s="93" t="e">
        <f>IF($C$5="Heterogeneous",wtt_by*I52/$C52,I60*I59/1000/1000)</f>
        <v>#NAME?</v>
      </c>
    </row>
    <row r="56" spans="1:9" hidden="1">
      <c r="B56" s="45" t="s">
        <v>15</v>
      </c>
      <c r="C56" s="46" t="e">
        <f t="shared" ref="C56:I56" si="12">$C60-$H54</f>
        <v>#NAME?</v>
      </c>
      <c r="D56" s="46" t="e">
        <f t="shared" si="12"/>
        <v>#NAME?</v>
      </c>
      <c r="E56" s="46" t="e">
        <f t="shared" si="12"/>
        <v>#NAME?</v>
      </c>
      <c r="F56" s="46" t="e">
        <f t="shared" si="12"/>
        <v>#NAME?</v>
      </c>
      <c r="G56" s="46" t="e">
        <f t="shared" si="12"/>
        <v>#NAME?</v>
      </c>
      <c r="H56" s="46" t="e">
        <f t="shared" si="12"/>
        <v>#NAME?</v>
      </c>
      <c r="I56" s="93" t="e">
        <f t="shared" si="12"/>
        <v>#NAME?</v>
      </c>
    </row>
    <row r="57" spans="1:9" hidden="1">
      <c r="B57" s="45" t="s">
        <v>22</v>
      </c>
      <c r="C57" s="46" t="e">
        <f>IF((C59/$C53)/(C59/C53)&lt;=1,(C59/$C53)/(C59/C53),1)</f>
        <v>#VALUE!</v>
      </c>
      <c r="D57" s="46" t="e">
        <f t="shared" ref="D57:I57" si="13">IF(($C59/$C53)/(D59/D53)&lt;=1,($C59/$C53)/(D59/D53),1)</f>
        <v>#VALUE!</v>
      </c>
      <c r="E57" s="46" t="e">
        <f t="shared" si="13"/>
        <v>#VALUE!</v>
      </c>
      <c r="F57" s="46" t="e">
        <f t="shared" si="13"/>
        <v>#VALUE!</v>
      </c>
      <c r="G57" s="46" t="e">
        <f t="shared" si="13"/>
        <v>#VALUE!</v>
      </c>
      <c r="H57" s="46" t="e">
        <f t="shared" si="13"/>
        <v>#VALUE!</v>
      </c>
      <c r="I57" s="93" t="e">
        <f t="shared" si="13"/>
        <v>#VALUE!</v>
      </c>
    </row>
    <row r="58" spans="1:9" hidden="1">
      <c r="B58" s="45" t="s">
        <v>23</v>
      </c>
      <c r="C58" s="46" t="e">
        <f t="shared" ref="C58:I58" si="14">(C54-$H54)/($C54-$H54)</f>
        <v>#VALUE!</v>
      </c>
      <c r="D58" s="46" t="e">
        <f t="shared" si="14"/>
        <v>#VALUE!</v>
      </c>
      <c r="E58" s="46" t="e">
        <f t="shared" si="14"/>
        <v>#VALUE!</v>
      </c>
      <c r="F58" s="46" t="e">
        <f t="shared" si="14"/>
        <v>#VALUE!</v>
      </c>
      <c r="G58" s="46" t="e">
        <f t="shared" si="14"/>
        <v>#VALUE!</v>
      </c>
      <c r="H58" s="46" t="e">
        <f t="shared" si="14"/>
        <v>#VALUE!</v>
      </c>
      <c r="I58" s="93" t="e">
        <f t="shared" si="14"/>
        <v>#VALUE!</v>
      </c>
    </row>
    <row r="59" spans="1:9" hidden="1">
      <c r="B59" s="45" t="s">
        <v>24</v>
      </c>
      <c r="C59" s="46">
        <f>IF($C$5="Homogeneous",activity_by,0)</f>
        <v>0</v>
      </c>
      <c r="D59" s="46">
        <f>IF($C$5="Homogeneous",activity_ty,activity_ty/activity_by)</f>
        <v>0</v>
      </c>
      <c r="E59" s="46" t="e">
        <f>IF($C$5="Homogeneous",(activity_ty-activity_by)/(ty-by)*(E51-by)+activity_by,((activity_ty-activity_by)/(ty-by)*(E51-by)+activity_by)/activity_by)</f>
        <v>#DIV/0!</v>
      </c>
      <c r="F59" s="46" t="e">
        <f>IF($C$5="Homogeneous",(activity_ty-activity_by)/(ty-by)*(F51-by)+activity_by,((activity_ty-activity_by)/(ty-by)*(F51-by)+activity_by)/activity_by)</f>
        <v>#DIV/0!</v>
      </c>
      <c r="G59" s="46" t="e">
        <f>IF($C$5="Homogeneous",(activity_ty-activity_by)/(ty-by)*(G51-by)+activity_by,((activity_ty-activity_by)/(ty-by)*(G51-by)+activity_by)/activity_by)</f>
        <v>#DIV/0!</v>
      </c>
      <c r="H59" s="46" t="e">
        <f>IF($C$5="Homogeneous",(activity_ty-activity_by)/(ty-by)*(H51-by)+activity_by,((activity_ty-activity_by)/(ty-by)*(H51-by)+activity_by)/activity_by)</f>
        <v>#DIV/0!</v>
      </c>
      <c r="I59" s="93" t="e">
        <f>IF($C$5="Homogeneous",(activity_ty-activity_by)/(ty-by)*(I51-by)+activity_by,((activity_ty-activity_by)/(ty-by)*(I51-by)+activity_by)/activity_by)</f>
        <v>#DIV/0!</v>
      </c>
    </row>
    <row r="60" spans="1:9" ht="15" hidden="1">
      <c r="A60"/>
      <c r="B60" s="45" t="s">
        <v>25</v>
      </c>
      <c r="C60" s="47" t="e">
        <f>IF($C$5="Homogeneous",C55/C59*1000000,IF($C$5="Fuel Economy",C59,1))</f>
        <v>#NAME?</v>
      </c>
      <c r="D60" s="47" t="e">
        <f t="shared" ref="D60:I60" si="15">(D56*D57*D58)+$H54</f>
        <v>#NAME?</v>
      </c>
      <c r="E60" s="46" t="e">
        <f t="shared" si="15"/>
        <v>#NAME?</v>
      </c>
      <c r="F60" s="46" t="e">
        <f t="shared" si="15"/>
        <v>#NAME?</v>
      </c>
      <c r="G60" s="46" t="e">
        <f t="shared" si="15"/>
        <v>#NAME?</v>
      </c>
      <c r="H60" s="46" t="e">
        <f t="shared" si="15"/>
        <v>#NAME?</v>
      </c>
      <c r="I60" s="93" t="e">
        <f t="shared" si="15"/>
        <v>#NAME?</v>
      </c>
    </row>
    <row r="61" spans="1:9" customFormat="1" ht="15" hidden="1"/>
    <row r="62" spans="1:9" customFormat="1" ht="15" hidden="1">
      <c r="B62" s="43"/>
      <c r="C62" s="44" t="s">
        <v>1</v>
      </c>
      <c r="D62" s="44" t="s">
        <v>2</v>
      </c>
      <c r="E62" s="245" t="s">
        <v>17</v>
      </c>
      <c r="F62" s="245"/>
      <c r="G62" s="245"/>
      <c r="H62" s="245"/>
      <c r="I62" s="245"/>
    </row>
    <row r="63" spans="1:9" customFormat="1" ht="15" hidden="1">
      <c r="B63" s="44" t="s">
        <v>48</v>
      </c>
      <c r="C63" s="45">
        <f>+by</f>
        <v>0</v>
      </c>
      <c r="D63" s="45">
        <f>+ty</f>
        <v>0</v>
      </c>
      <c r="E63" s="45">
        <v>2020</v>
      </c>
      <c r="F63" s="45">
        <v>2030</v>
      </c>
      <c r="G63" s="45">
        <v>2040</v>
      </c>
      <c r="H63" s="45">
        <v>2050</v>
      </c>
      <c r="I63" s="98">
        <v>2060</v>
      </c>
    </row>
    <row r="64" spans="1:9" customFormat="1" ht="15" hidden="1">
      <c r="B64" s="45" t="s">
        <v>18</v>
      </c>
      <c r="C64" s="46" t="e">
        <f>VLOOKUP(modes,TTWEmissions_2DS,by-2010+2,FALSE)</f>
        <v>#NAME?</v>
      </c>
      <c r="D64" s="46" t="e">
        <f>VLOOKUP(modes,TTWEmissions_2DS,ty-2010+2,FALSE)</f>
        <v>#NAME?</v>
      </c>
      <c r="E64" s="46" t="e">
        <f>VLOOKUP(modes,TTWEmissions_2DS,E63-2010+2,FALSE)</f>
        <v>#NAME?</v>
      </c>
      <c r="F64" s="46" t="e">
        <f>VLOOKUP(modes,TTWEmissions_2DS,F63-2010+2,FALSE)</f>
        <v>#NAME?</v>
      </c>
      <c r="G64" s="46" t="e">
        <f>VLOOKUP(modes,TTWEmissions_2DS,G63-2010+2,FALSE)</f>
        <v>#NAME?</v>
      </c>
      <c r="H64" s="46" t="e">
        <f>VLOOKUP(modes,TTWEmissions_2DS,H63-2010+2,FALSE)</f>
        <v>#NAME?</v>
      </c>
      <c r="I64" s="93" t="e">
        <f>VLOOKUP(modes,TTWEmissions_2DS,I63-2010+2,FALSE)</f>
        <v>#NAME?</v>
      </c>
    </row>
    <row r="65" spans="2:9" customFormat="1" ht="15" hidden="1">
      <c r="B65" s="45" t="s">
        <v>19</v>
      </c>
      <c r="C65" s="46" t="e">
        <f>VLOOKUP(modes,ACTIVITY_2DS,by-2010+2,FALSE)*10^9</f>
        <v>#VALUE!</v>
      </c>
      <c r="D65" s="46" t="e">
        <f>VLOOKUP(modes,ACTIVITY_2DS,ty-2010+2,FALSE)*10^9</f>
        <v>#VALUE!</v>
      </c>
      <c r="E65" s="46">
        <f>VLOOKUP(modes,ACTIVITY_2DS,E63-2010+2,FALSE)*10^9</f>
        <v>8.3985559055593664E+16</v>
      </c>
      <c r="F65" s="46">
        <f>VLOOKUP(modes,ACTIVITY_2DS,F63-2010+2,FALSE)*10^9</f>
        <v>9.907297092663088E+16</v>
      </c>
      <c r="G65" s="46">
        <f>VLOOKUP(modes,ACTIVITY_2DS,G63-2010+2,FALSE)*10^9</f>
        <v>1.1211756075600806E+17</v>
      </c>
      <c r="H65" s="46">
        <f>VLOOKUP(modes,ACTIVITY_2DS,H63-2010+2,FALSE)*10^9</f>
        <v>0</v>
      </c>
      <c r="I65" s="93" t="e">
        <f>VLOOKUP(modes,ACTIVITY_2DS,I63-2010+2,FALSE)*10^9</f>
        <v>#REF!</v>
      </c>
    </row>
    <row r="66" spans="2:9" customFormat="1" ht="15" hidden="1">
      <c r="B66" s="45" t="s">
        <v>20</v>
      </c>
      <c r="C66" s="46" t="e">
        <f>IF($C$5="Homogeneous",VLOOKUP(modes,TTWIntensity_2DS,by-2010+2,FALSE),0)</f>
        <v>#NAME?</v>
      </c>
      <c r="D66" s="46" t="e">
        <f>IF($C$5="Homogeneous",VLOOKUP(modes,TTWIntensity_2DS,ty-2010+2,FALSE),0)</f>
        <v>#NAME?</v>
      </c>
      <c r="E66" s="46" t="e">
        <f>IF($C$5="Homogeneous",VLOOKUP(modes,TTWIntensity_2DS,E63-2010+2,FALSE),0)</f>
        <v>#NAME?</v>
      </c>
      <c r="F66" s="46" t="e">
        <f>IF($C$5="Homogeneous",VLOOKUP(modes,TTWIntensity_2DS,F63-2010+2,FALSE),0)</f>
        <v>#NAME?</v>
      </c>
      <c r="G66" s="46" t="e">
        <f>IF($C$5="Homogeneous",VLOOKUP(modes,TTWIntensity_2DS,G63-2010+2,FALSE),0)</f>
        <v>#NAME?</v>
      </c>
      <c r="H66" s="46" t="e">
        <f>IF($C$5="Homogeneous",VLOOKUP(modes,TTWIntensity_2DS,H63-2010+2,FALSE),0)</f>
        <v>#NAME?</v>
      </c>
      <c r="I66" s="93" t="e">
        <f>IF($C$5="Homogeneous",VLOOKUP(modes,TTWIntensity_2DS,I63-2010+2,FALSE),0)</f>
        <v>#NAME?</v>
      </c>
    </row>
    <row r="67" spans="2:9" customFormat="1" ht="15" hidden="1">
      <c r="B67" s="45" t="s">
        <v>21</v>
      </c>
      <c r="C67" s="47" t="e">
        <f>ttw_by</f>
        <v>#NAME?</v>
      </c>
      <c r="D67" s="47" t="e">
        <f t="shared" ref="D67:I67" si="16">IF($C$5="Heterogeneous",ttw_by*D64/$C64,D72*D71/1000/1000)</f>
        <v>#NAME?</v>
      </c>
      <c r="E67" s="46" t="e">
        <f t="shared" si="16"/>
        <v>#NAME?</v>
      </c>
      <c r="F67" s="46" t="e">
        <f t="shared" si="16"/>
        <v>#NAME?</v>
      </c>
      <c r="G67" s="46" t="e">
        <f t="shared" si="16"/>
        <v>#NAME?</v>
      </c>
      <c r="H67" s="46" t="e">
        <f t="shared" si="16"/>
        <v>#NAME?</v>
      </c>
      <c r="I67" s="93" t="e">
        <f t="shared" si="16"/>
        <v>#NAME?</v>
      </c>
    </row>
    <row r="68" spans="2:9" customFormat="1" ht="15" hidden="1">
      <c r="B68" s="45" t="s">
        <v>15</v>
      </c>
      <c r="C68" s="46" t="e">
        <f t="shared" ref="C68:I68" si="17">$C72-$H66</f>
        <v>#NAME?</v>
      </c>
      <c r="D68" s="46" t="e">
        <f t="shared" si="17"/>
        <v>#NAME?</v>
      </c>
      <c r="E68" s="46" t="e">
        <f t="shared" si="17"/>
        <v>#NAME?</v>
      </c>
      <c r="F68" s="46" t="e">
        <f t="shared" si="17"/>
        <v>#NAME?</v>
      </c>
      <c r="G68" s="46" t="e">
        <f t="shared" si="17"/>
        <v>#NAME?</v>
      </c>
      <c r="H68" s="46" t="e">
        <f t="shared" si="17"/>
        <v>#NAME?</v>
      </c>
      <c r="I68" s="93" t="e">
        <f t="shared" si="17"/>
        <v>#NAME?</v>
      </c>
    </row>
    <row r="69" spans="2:9" customFormat="1" ht="15" hidden="1">
      <c r="B69" s="45" t="s">
        <v>22</v>
      </c>
      <c r="C69" s="46" t="e">
        <f>IF((C71/$C65)/(C71/C65)&lt;=1,(C71/$C65)/(C71/C65),1)</f>
        <v>#VALUE!</v>
      </c>
      <c r="D69" s="46" t="e">
        <f t="shared" ref="D69:I69" si="18">IF(($C71/$C65)/(D71/D65)&lt;=1,($C71/$C65)/(D71/D65),1)</f>
        <v>#VALUE!</v>
      </c>
      <c r="E69" s="46" t="e">
        <f t="shared" si="18"/>
        <v>#VALUE!</v>
      </c>
      <c r="F69" s="46" t="e">
        <f t="shared" si="18"/>
        <v>#VALUE!</v>
      </c>
      <c r="G69" s="46" t="e">
        <f t="shared" si="18"/>
        <v>#VALUE!</v>
      </c>
      <c r="H69" s="46" t="e">
        <f t="shared" si="18"/>
        <v>#VALUE!</v>
      </c>
      <c r="I69" s="93" t="e">
        <f t="shared" si="18"/>
        <v>#VALUE!</v>
      </c>
    </row>
    <row r="70" spans="2:9" customFormat="1" ht="15" hidden="1">
      <c r="B70" s="45" t="s">
        <v>23</v>
      </c>
      <c r="C70" s="46" t="e">
        <f t="shared" ref="C70:I70" si="19">(C66-$H66)/($C66-$H66)</f>
        <v>#NAME?</v>
      </c>
      <c r="D70" s="46" t="e">
        <f t="shared" si="19"/>
        <v>#NAME?</v>
      </c>
      <c r="E70" s="46" t="e">
        <f t="shared" si="19"/>
        <v>#NAME?</v>
      </c>
      <c r="F70" s="46" t="e">
        <f t="shared" si="19"/>
        <v>#NAME?</v>
      </c>
      <c r="G70" s="46" t="e">
        <f t="shared" si="19"/>
        <v>#NAME?</v>
      </c>
      <c r="H70" s="46" t="e">
        <f t="shared" si="19"/>
        <v>#NAME?</v>
      </c>
      <c r="I70" s="93" t="e">
        <f t="shared" si="19"/>
        <v>#NAME?</v>
      </c>
    </row>
    <row r="71" spans="2:9" customFormat="1" ht="15" hidden="1">
      <c r="B71" s="45" t="s">
        <v>24</v>
      </c>
      <c r="C71" s="46">
        <f>IF($C$5="Homogeneous",activity_by,0)</f>
        <v>0</v>
      </c>
      <c r="D71" s="46">
        <f>IF($C$5="Homogeneous",activity_ty,activity_ty/activity_by)</f>
        <v>0</v>
      </c>
      <c r="E71" s="46" t="e">
        <f>IF($C$5="Homogeneous",(activity_ty-activity_by)/(ty-by)*(E63-by)+activity_by,((activity_ty-activity_by)/(ty-by)*(E63-by)+activity_by)/activity_by)</f>
        <v>#DIV/0!</v>
      </c>
      <c r="F71" s="46" t="e">
        <f>IF($C$5="Homogeneous",(activity_ty-activity_by)/(ty-by)*(F63-by)+activity_by,((activity_ty-activity_by)/(ty-by)*(F63-by)+activity_by)/activity_by)</f>
        <v>#DIV/0!</v>
      </c>
      <c r="G71" s="46" t="e">
        <f>IF($C$5="Homogeneous",(activity_ty-activity_by)/(ty-by)*(G63-by)+activity_by,((activity_ty-activity_by)/(ty-by)*(G63-by)+activity_by)/activity_by)</f>
        <v>#DIV/0!</v>
      </c>
      <c r="H71" s="46" t="e">
        <f>IF($C$5="Homogeneous",(activity_ty-activity_by)/(ty-by)*(H63-by)+activity_by,((activity_ty-activity_by)/(ty-by)*(H63-by)+activity_by)/activity_by)</f>
        <v>#DIV/0!</v>
      </c>
      <c r="I71" s="93" t="e">
        <f>IF($C$5="Homogeneous",(activity_ty-activity_by)/(ty-by)*(I63-by)+activity_by,((activity_ty-activity_by)/(ty-by)*(I63-by)+activity_by)/activity_by)</f>
        <v>#DIV/0!</v>
      </c>
    </row>
    <row r="72" spans="2:9" customFormat="1" ht="15" hidden="1">
      <c r="B72" s="45" t="s">
        <v>25</v>
      </c>
      <c r="C72" s="47" t="e">
        <f>IF($C$5="Homogeneous",C67/C71*1000000,IF($C$5="Fuel Economy",C71,1))</f>
        <v>#NAME?</v>
      </c>
      <c r="D72" s="47" t="e">
        <f t="shared" ref="D72:I72" si="20">(D68*D69*D70)+$H66</f>
        <v>#NAME?</v>
      </c>
      <c r="E72" s="46" t="e">
        <f t="shared" si="20"/>
        <v>#NAME?</v>
      </c>
      <c r="F72" s="46" t="e">
        <f t="shared" si="20"/>
        <v>#NAME?</v>
      </c>
      <c r="G72" s="46" t="e">
        <f t="shared" si="20"/>
        <v>#NAME?</v>
      </c>
      <c r="H72" s="46" t="e">
        <f t="shared" si="20"/>
        <v>#NAME?</v>
      </c>
      <c r="I72" s="93" t="e">
        <f t="shared" si="20"/>
        <v>#NAME?</v>
      </c>
    </row>
    <row r="73" spans="2:9" customFormat="1" ht="15" hidden="1"/>
    <row r="74" spans="2:9" customFormat="1" ht="15" hidden="1">
      <c r="B74" s="43"/>
      <c r="C74" s="44" t="s">
        <v>1</v>
      </c>
      <c r="D74" s="44" t="s">
        <v>2</v>
      </c>
      <c r="E74" s="245" t="s">
        <v>17</v>
      </c>
      <c r="F74" s="245"/>
      <c r="G74" s="245"/>
      <c r="H74" s="245"/>
      <c r="I74" s="245"/>
    </row>
    <row r="75" spans="2:9" customFormat="1" ht="15" hidden="1">
      <c r="B75" s="44" t="s">
        <v>49</v>
      </c>
      <c r="C75" s="45">
        <f>+by</f>
        <v>0</v>
      </c>
      <c r="D75" s="45">
        <f>+ty</f>
        <v>0</v>
      </c>
      <c r="E75" s="45">
        <v>2020</v>
      </c>
      <c r="F75" s="45">
        <v>2030</v>
      </c>
      <c r="G75" s="45">
        <v>2040</v>
      </c>
      <c r="H75" s="45">
        <v>2050</v>
      </c>
      <c r="I75" s="98">
        <v>2060</v>
      </c>
    </row>
    <row r="76" spans="2:9" customFormat="1" ht="15" hidden="1">
      <c r="B76" s="45" t="s">
        <v>18</v>
      </c>
      <c r="C76" s="46" t="e">
        <f>VLOOKUP(modes,TTWEmissions_B2DS,by-2010+2,FALSE)</f>
        <v>#NAME?</v>
      </c>
      <c r="D76" s="46" t="e">
        <f>VLOOKUP(modes,TTWEmissions_B2DS,ty-2010+2,FALSE)</f>
        <v>#NAME?</v>
      </c>
      <c r="E76" s="46" t="e">
        <f>VLOOKUP(modes,TTWEmissions_B2DS,E75-2010+2,FALSE)</f>
        <v>#NAME?</v>
      </c>
      <c r="F76" s="46" t="e">
        <f>VLOOKUP(modes,TTWEmissions_B2DS,F75-2010+2,FALSE)</f>
        <v>#NAME?</v>
      </c>
      <c r="G76" s="46" t="e">
        <f>VLOOKUP(modes,TTWEmissions_B2DS,G75-2010+2,FALSE)</f>
        <v>#NAME?</v>
      </c>
      <c r="H76" s="46" t="e">
        <f>VLOOKUP(modes,TTWEmissions_B2DS,H75-2010+2,FALSE)</f>
        <v>#NAME?</v>
      </c>
      <c r="I76" s="93" t="e">
        <f>VLOOKUP(modes,TTWEmissions_B2DS,I75-2010+2,FALSE)</f>
        <v>#NAME?</v>
      </c>
    </row>
    <row r="77" spans="2:9" customFormat="1" ht="15" hidden="1">
      <c r="B77" s="45" t="s">
        <v>19</v>
      </c>
      <c r="C77" s="46" t="e">
        <f>VLOOKUP(modes,ACTIVITY_B2DS,by-2010+2,FALSE)*10^9</f>
        <v>#VALUE!</v>
      </c>
      <c r="D77" s="46" t="e">
        <f>VLOOKUP(modes,ACTIVITY_B2DS,ty-2010+2,FALSE)*10^9</f>
        <v>#VALUE!</v>
      </c>
      <c r="E77" s="46">
        <f>VLOOKUP(modes,ACTIVITY_B2DS,E75-2010+2,FALSE)*10^9</f>
        <v>56403780891882.578</v>
      </c>
      <c r="F77" s="46">
        <f>VLOOKUP(modes,ACTIVITY_B2DS,F75-2010+2,FALSE)*10^9</f>
        <v>66816896440861.805</v>
      </c>
      <c r="G77" s="46">
        <f>VLOOKUP(modes,ACTIVITY_B2DS,G75-2010+2,FALSE)*10^9</f>
        <v>78435950697371.437</v>
      </c>
      <c r="H77" s="46">
        <f>VLOOKUP(modes,ACTIVITY_B2DS,H75-2010+2,FALSE)*10^9</f>
        <v>94808233795845.797</v>
      </c>
      <c r="I77" s="93">
        <f>VLOOKUP(modes,ACTIVITY_B2DS,I75-2010+2,FALSE)*10^9</f>
        <v>0</v>
      </c>
    </row>
    <row r="78" spans="2:9" customFormat="1" ht="15" hidden="1">
      <c r="B78" s="45" t="s">
        <v>20</v>
      </c>
      <c r="C78" s="46" t="e">
        <f>IF($C$5="Homogeneous",VLOOKUP(modes,TTWIntensity_B2DS,by-2010+2,FALSE),0)</f>
        <v>#NAME?</v>
      </c>
      <c r="D78" s="46" t="e">
        <f>IF($C$5="Homogeneous",VLOOKUP(modes,TTWIntensity_B2DS,ty-2010+2,FALSE),0)</f>
        <v>#NAME?</v>
      </c>
      <c r="E78" s="46" t="e">
        <f>IF($C$5="Homogeneous",VLOOKUP(modes,TTWIntensity_B2DS,E75-2010+2,FALSE),0)</f>
        <v>#NAME?</v>
      </c>
      <c r="F78" s="46" t="e">
        <f>IF($C$5="Homogeneous",VLOOKUP(modes,TTWIntensity_B2DS,F75-2010+2,FALSE),0)</f>
        <v>#NAME?</v>
      </c>
      <c r="G78" s="46" t="e">
        <f>IF($C$5="Homogeneous",VLOOKUP(modes,TTWIntensity_B2DS,G75-2010+2,FALSE),0)</f>
        <v>#NAME?</v>
      </c>
      <c r="H78" s="46" t="e">
        <f>IF($C$5="Homogeneous",VLOOKUP(modes,TTWIntensity_B2DS,H75-2010+2,FALSE),0)</f>
        <v>#NAME?</v>
      </c>
      <c r="I78" s="93" t="e">
        <f>IF($C$5="Homogeneous",VLOOKUP(modes,TTWIntensity_B2DS,I75-2010+2,FALSE),0)</f>
        <v>#NAME?</v>
      </c>
    </row>
    <row r="79" spans="2:9" customFormat="1" ht="15" hidden="1">
      <c r="B79" s="45" t="s">
        <v>21</v>
      </c>
      <c r="C79" s="47" t="e">
        <f>ttw_by</f>
        <v>#NAME?</v>
      </c>
      <c r="D79" s="47" t="e">
        <f t="shared" ref="D79:I79" si="21">IF($C$5="Heterogeneous",ttw_by*D76/$C76,D84*D83/1000/1000)</f>
        <v>#NAME?</v>
      </c>
      <c r="E79" s="46" t="e">
        <f t="shared" si="21"/>
        <v>#NAME?</v>
      </c>
      <c r="F79" s="46" t="e">
        <f t="shared" si="21"/>
        <v>#NAME?</v>
      </c>
      <c r="G79" s="46" t="e">
        <f t="shared" si="21"/>
        <v>#NAME?</v>
      </c>
      <c r="H79" s="46" t="e">
        <f t="shared" si="21"/>
        <v>#NAME?</v>
      </c>
      <c r="I79" s="93" t="e">
        <f t="shared" si="21"/>
        <v>#NAME?</v>
      </c>
    </row>
    <row r="80" spans="2:9" customFormat="1" ht="15" hidden="1">
      <c r="B80" s="45" t="s">
        <v>15</v>
      </c>
      <c r="C80" s="46" t="e">
        <f t="shared" ref="C80:I80" si="22">$C84-$H78</f>
        <v>#NAME?</v>
      </c>
      <c r="D80" s="46" t="e">
        <f t="shared" si="22"/>
        <v>#NAME?</v>
      </c>
      <c r="E80" s="46" t="e">
        <f t="shared" si="22"/>
        <v>#NAME?</v>
      </c>
      <c r="F80" s="46" t="e">
        <f t="shared" si="22"/>
        <v>#NAME?</v>
      </c>
      <c r="G80" s="46" t="e">
        <f t="shared" si="22"/>
        <v>#NAME?</v>
      </c>
      <c r="H80" s="46" t="e">
        <f t="shared" si="22"/>
        <v>#NAME?</v>
      </c>
      <c r="I80" s="93" t="e">
        <f t="shared" si="22"/>
        <v>#NAME?</v>
      </c>
    </row>
    <row r="81" spans="2:9" customFormat="1" ht="15" hidden="1">
      <c r="B81" s="45" t="s">
        <v>22</v>
      </c>
      <c r="C81" s="46" t="e">
        <f>IF((C83/$C77)/(C83/C77)&lt;=1,(C83/$C77)/(C83/C77),1)</f>
        <v>#VALUE!</v>
      </c>
      <c r="D81" s="46" t="e">
        <f t="shared" ref="D81:I81" si="23">IF(($C83/$C77)/(D83/D77)&lt;=1,($C83/$C77)/(D83/D77),1)</f>
        <v>#VALUE!</v>
      </c>
      <c r="E81" s="46" t="e">
        <f t="shared" si="23"/>
        <v>#VALUE!</v>
      </c>
      <c r="F81" s="46" t="e">
        <f t="shared" si="23"/>
        <v>#VALUE!</v>
      </c>
      <c r="G81" s="46" t="e">
        <f t="shared" si="23"/>
        <v>#VALUE!</v>
      </c>
      <c r="H81" s="46" t="e">
        <f t="shared" si="23"/>
        <v>#VALUE!</v>
      </c>
      <c r="I81" s="93" t="e">
        <f t="shared" si="23"/>
        <v>#VALUE!</v>
      </c>
    </row>
    <row r="82" spans="2:9" customFormat="1" ht="15" hidden="1">
      <c r="B82" s="45" t="s">
        <v>23</v>
      </c>
      <c r="C82" s="46" t="e">
        <f t="shared" ref="C82:I82" si="24">(C78-$H78)/($C78-$H78)</f>
        <v>#NAME?</v>
      </c>
      <c r="D82" s="46" t="e">
        <f t="shared" si="24"/>
        <v>#NAME?</v>
      </c>
      <c r="E82" s="46" t="e">
        <f t="shared" si="24"/>
        <v>#NAME?</v>
      </c>
      <c r="F82" s="46" t="e">
        <f t="shared" si="24"/>
        <v>#NAME?</v>
      </c>
      <c r="G82" s="46" t="e">
        <f t="shared" si="24"/>
        <v>#NAME?</v>
      </c>
      <c r="H82" s="46" t="e">
        <f t="shared" si="24"/>
        <v>#NAME?</v>
      </c>
      <c r="I82" s="93" t="e">
        <f t="shared" si="24"/>
        <v>#NAME?</v>
      </c>
    </row>
    <row r="83" spans="2:9" customFormat="1" ht="15" hidden="1">
      <c r="B83" s="45" t="s">
        <v>24</v>
      </c>
      <c r="C83" s="46">
        <f>IF($C$5="Homogeneous",activity_by,0)</f>
        <v>0</v>
      </c>
      <c r="D83" s="46">
        <f>IF($C$5="Homogeneous",activity_ty,activity_ty/activity_by)</f>
        <v>0</v>
      </c>
      <c r="E83" s="46" t="e">
        <f>IF($C$5="Homogeneous",(activity_ty-activity_by)/(ty-by)*(E75-by)+activity_by,((activity_ty-activity_by)/(ty-by)*(E75-by)+activity_by)/activity_by)</f>
        <v>#DIV/0!</v>
      </c>
      <c r="F83" s="46" t="e">
        <f>IF($C$5="Homogeneous",(activity_ty-activity_by)/(ty-by)*(F75-by)+activity_by,((activity_ty-activity_by)/(ty-by)*(F75-by)+activity_by)/activity_by)</f>
        <v>#DIV/0!</v>
      </c>
      <c r="G83" s="46" t="e">
        <f>IF($C$5="Homogeneous",(activity_ty-activity_by)/(ty-by)*(G75-by)+activity_by,((activity_ty-activity_by)/(ty-by)*(G75-by)+activity_by)/activity_by)</f>
        <v>#DIV/0!</v>
      </c>
      <c r="H83" s="46" t="e">
        <f>IF($C$5="Homogeneous",(activity_ty-activity_by)/(ty-by)*(H75-by)+activity_by,((activity_ty-activity_by)/(ty-by)*(H75-by)+activity_by)/activity_by)</f>
        <v>#DIV/0!</v>
      </c>
      <c r="I83" s="93" t="e">
        <f>IF($C$5="Homogeneous",(activity_ty-activity_by)/(ty-by)*(I75-by)+activity_by,((activity_ty-activity_by)/(ty-by)*(I75-by)+activity_by)/activity_by)</f>
        <v>#DIV/0!</v>
      </c>
    </row>
    <row r="84" spans="2:9" customFormat="1" ht="15" hidden="1">
      <c r="B84" s="45" t="s">
        <v>25</v>
      </c>
      <c r="C84" s="47" t="e">
        <f>IF($C$5="Homogeneous",C79/C83*1000000,IF($C$5="Fuel Economy",C83,1))</f>
        <v>#NAME?</v>
      </c>
      <c r="D84" s="47" t="e">
        <f t="shared" ref="D84:I84" si="25">(D80*D81*D82)+$H78</f>
        <v>#NAME?</v>
      </c>
      <c r="E84" s="46" t="e">
        <f t="shared" si="25"/>
        <v>#NAME?</v>
      </c>
      <c r="F84" s="46" t="e">
        <f t="shared" si="25"/>
        <v>#NAME?</v>
      </c>
      <c r="G84" s="46" t="e">
        <f t="shared" si="25"/>
        <v>#NAME?</v>
      </c>
      <c r="H84" s="46" t="e">
        <f t="shared" si="25"/>
        <v>#NAME?</v>
      </c>
      <c r="I84" s="93" t="e">
        <f t="shared" si="25"/>
        <v>#NAME?</v>
      </c>
    </row>
    <row r="85" spans="2:9" customFormat="1" ht="15">
      <c r="B85" s="33"/>
      <c r="C85" s="34"/>
      <c r="D85" s="34"/>
    </row>
    <row r="86" spans="2:9" customFormat="1" ht="15">
      <c r="B86" s="43"/>
      <c r="C86" s="44" t="s">
        <v>1</v>
      </c>
      <c r="D86" s="44" t="s">
        <v>2</v>
      </c>
      <c r="E86" s="245" t="s">
        <v>17</v>
      </c>
      <c r="F86" s="245"/>
      <c r="G86" s="245"/>
      <c r="H86" s="245"/>
      <c r="I86" s="245"/>
    </row>
    <row r="87" spans="2:9" customFormat="1" ht="15">
      <c r="B87" s="44" t="s">
        <v>191</v>
      </c>
      <c r="C87" s="45">
        <f>+by</f>
        <v>0</v>
      </c>
      <c r="D87" s="45">
        <f>+ty</f>
        <v>0</v>
      </c>
      <c r="E87" s="45">
        <v>2020</v>
      </c>
      <c r="F87" s="45">
        <v>2030</v>
      </c>
      <c r="G87" s="45">
        <v>2040</v>
      </c>
      <c r="H87" s="45">
        <v>2050</v>
      </c>
      <c r="I87" s="98">
        <v>2060</v>
      </c>
    </row>
    <row r="88" spans="2:9" customFormat="1" ht="15">
      <c r="B88" s="45"/>
      <c r="C88" s="46"/>
      <c r="D88" s="46"/>
      <c r="E88" s="46"/>
      <c r="F88" s="46"/>
      <c r="G88" s="46"/>
      <c r="H88" s="46"/>
      <c r="I88" s="93"/>
    </row>
    <row r="89" spans="2:9" customFormat="1" ht="15">
      <c r="B89" s="45" t="s">
        <v>19</v>
      </c>
      <c r="C89" s="46" t="e">
        <f>VLOOKUP(modes,ACTIVITY_2DS,by-2012+2,FALSE)</f>
        <v>#VALUE!</v>
      </c>
      <c r="D89" s="46" t="e">
        <f>VLOOKUP(modes,ACTIVITY_2DS,ty-2012+2,FALSE)</f>
        <v>#VALUE!</v>
      </c>
      <c r="E89" s="46">
        <f>VLOOKUP(modes,ACTIVITY_2DS,E87-2012+2,FALSE)</f>
        <v>84513291.590276346</v>
      </c>
      <c r="F89" s="46">
        <f>VLOOKUP(modes,ACTIVITY_2DS,F87-2012+2,FALSE)</f>
        <v>98534386.349129558</v>
      </c>
      <c r="G89" s="46">
        <f>VLOOKUP(modes,ACTIVITY_2DS,G87-2012+2,FALSE)</f>
        <v>105559700.85439719</v>
      </c>
      <c r="H89" s="46">
        <f>VLOOKUP(modes,ACTIVITY_2DS,H87-2012+2,FALSE)</f>
        <v>123135405.37905237</v>
      </c>
      <c r="I89" s="93"/>
    </row>
    <row r="90" spans="2:9" customFormat="1" ht="15">
      <c r="B90" s="45" t="s">
        <v>20</v>
      </c>
      <c r="C90" s="46" t="e">
        <f>VLOOKUP(modes,S1_Intensity_B2DS,by-2012+2,FALSE)</f>
        <v>#VALUE!</v>
      </c>
      <c r="D90" s="46" t="e">
        <f>VLOOKUP(modes,S1_Intensity_B2DS,ty-2012+2,FALSE)</f>
        <v>#VALUE!</v>
      </c>
      <c r="E90" s="46">
        <f>VLOOKUP(modes,S1_Intensity_B2DS,E87-2012+2,FALSE)</f>
        <v>205.14770452126061</v>
      </c>
      <c r="F90" s="46">
        <f>VLOOKUP(modes,S1_Intensity_B2DS,F87-2012+2,FALSE)</f>
        <v>137.83795664268592</v>
      </c>
      <c r="G90" s="46">
        <f>VLOOKUP(modes,S1_Intensity_B2DS,G87-2012+2,FALSE)</f>
        <v>115.63365757423693</v>
      </c>
      <c r="H90" s="46">
        <f>VLOOKUP(modes,S1_Intensity_B2DS,H87-2012+2,FALSE)</f>
        <v>81.884852551805068</v>
      </c>
      <c r="I90" s="93"/>
    </row>
    <row r="91" spans="2:9" customFormat="1" ht="15">
      <c r="B91" s="45"/>
      <c r="C91" s="47"/>
      <c r="D91" s="47"/>
      <c r="E91" s="46"/>
      <c r="F91" s="46"/>
      <c r="G91" s="46"/>
      <c r="H91" s="46"/>
      <c r="I91" s="93"/>
    </row>
    <row r="92" spans="2:9" customFormat="1" ht="15">
      <c r="B92" s="45" t="s">
        <v>15</v>
      </c>
      <c r="C92" s="46">
        <f t="shared" ref="C92:H92" si="26">$C96-$H90</f>
        <v>-81.884852551805068</v>
      </c>
      <c r="D92" s="46">
        <f t="shared" si="26"/>
        <v>-81.884852551805068</v>
      </c>
      <c r="E92" s="46">
        <f t="shared" si="26"/>
        <v>-81.884852551805068</v>
      </c>
      <c r="F92" s="46">
        <f t="shared" si="26"/>
        <v>-81.884852551805068</v>
      </c>
      <c r="G92" s="46">
        <f t="shared" si="26"/>
        <v>-81.884852551805068</v>
      </c>
      <c r="H92" s="46">
        <f t="shared" si="26"/>
        <v>-81.884852551805068</v>
      </c>
      <c r="I92" s="93"/>
    </row>
    <row r="93" spans="2:9" customFormat="1" ht="15">
      <c r="B93" s="45" t="s">
        <v>22</v>
      </c>
      <c r="C93" s="46" t="e">
        <f>IF((C95/$C89)/(C95/C89)&lt;=1,(C95/$C89)/(C95/C89),1)</f>
        <v>#VALUE!</v>
      </c>
      <c r="D93" s="46" t="e">
        <f>IF(($C95/$C89)/(D95/D89)&lt;=1,($C95/$C89)/(D95/D89),1)</f>
        <v>#VALUE!</v>
      </c>
      <c r="E93" s="46" t="e">
        <f>IF(($C95/$C89)/(E95/E89)&lt;=1,($C95/$C89)/(E95/E89),1)</f>
        <v>#VALUE!</v>
      </c>
      <c r="F93" s="46" t="e">
        <f>IF(($C95/$C89)/(F95/F89)&lt;=1,($C95/$C89)/(F95/F89),1)</f>
        <v>#VALUE!</v>
      </c>
      <c r="G93" s="46" t="e">
        <f>IF(($C95/$C89)/(G95/G89)&lt;=1,($C95/$C89)/(G95/G89),1)</f>
        <v>#VALUE!</v>
      </c>
      <c r="H93" s="46" t="e">
        <f>IF(($C95/$C89)/(H95/H89)&lt;=1,($C95/$C89)/(H95/H89),1)</f>
        <v>#VALUE!</v>
      </c>
      <c r="I93" s="93"/>
    </row>
    <row r="94" spans="2:9" customFormat="1" ht="15">
      <c r="B94" s="45" t="s">
        <v>23</v>
      </c>
      <c r="C94" s="46" t="e">
        <f t="shared" ref="C94:H94" si="27">(C90-$H90)/($C90-$H90)</f>
        <v>#VALUE!</v>
      </c>
      <c r="D94" s="46" t="e">
        <f t="shared" si="27"/>
        <v>#VALUE!</v>
      </c>
      <c r="E94" s="46" t="e">
        <f t="shared" si="27"/>
        <v>#VALUE!</v>
      </c>
      <c r="F94" s="46" t="e">
        <f t="shared" si="27"/>
        <v>#VALUE!</v>
      </c>
      <c r="G94" s="46" t="e">
        <f t="shared" si="27"/>
        <v>#VALUE!</v>
      </c>
      <c r="H94" s="46" t="e">
        <f t="shared" si="27"/>
        <v>#VALUE!</v>
      </c>
      <c r="I94" s="93"/>
    </row>
    <row r="95" spans="2:9" customFormat="1" ht="15">
      <c r="B95" s="45" t="s">
        <v>24</v>
      </c>
      <c r="C95" s="46">
        <f>activity_by</f>
        <v>0</v>
      </c>
      <c r="D95" s="46">
        <f>activity_ty</f>
        <v>0</v>
      </c>
      <c r="E95" s="46" t="e">
        <f>(activity_ty-activity_by)/(ty-by)*(E87-by)+activity_by</f>
        <v>#DIV/0!</v>
      </c>
      <c r="F95" s="46" t="e">
        <f>(activity_ty-activity_by)/(ty-by)*(F87-by)+activity_by</f>
        <v>#DIV/0!</v>
      </c>
      <c r="G95" s="46" t="e">
        <f>(activity_ty-activity_by)/(ty-by)*(G87-by)+activity_by</f>
        <v>#DIV/0!</v>
      </c>
      <c r="H95" s="46" t="e">
        <f>(activity_ty-activity_by)/(ty-by)*(H87-by)+activity_by</f>
        <v>#DIV/0!</v>
      </c>
      <c r="I95" s="93"/>
    </row>
    <row r="96" spans="2:9" customFormat="1" ht="15">
      <c r="B96" s="45" t="s">
        <v>25</v>
      </c>
      <c r="C96" s="47">
        <f>Tool!C23</f>
        <v>0</v>
      </c>
      <c r="D96" s="47" t="e">
        <f>(D92*D93*D94)+$H90</f>
        <v>#VALUE!</v>
      </c>
      <c r="E96" s="46" t="e">
        <f>(E92*E93*E94)+$H90</f>
        <v>#VALUE!</v>
      </c>
      <c r="F96" s="46" t="e">
        <f>(F92*F93*F94)+$H90</f>
        <v>#VALUE!</v>
      </c>
      <c r="G96" s="46" t="e">
        <f>(G92*G93*G94)+$H90</f>
        <v>#VALUE!</v>
      </c>
      <c r="H96" s="46" t="e">
        <f>(H92*H93*H94)+$H90</f>
        <v>#VALUE!</v>
      </c>
      <c r="I96" s="93"/>
    </row>
    <row r="97" spans="2:9" customFormat="1" ht="15">
      <c r="B97" s="33"/>
      <c r="C97" s="34"/>
      <c r="D97" s="34"/>
      <c r="E97" s="33"/>
      <c r="F97" s="33"/>
    </row>
    <row r="98" spans="2:9" customFormat="1" ht="15" hidden="1">
      <c r="B98" s="43"/>
      <c r="C98" s="44" t="s">
        <v>1</v>
      </c>
      <c r="D98" s="44" t="s">
        <v>2</v>
      </c>
      <c r="E98" s="245" t="s">
        <v>17</v>
      </c>
      <c r="F98" s="245"/>
      <c r="G98" s="245"/>
      <c r="H98" s="245"/>
      <c r="I98" s="245"/>
    </row>
    <row r="99" spans="2:9" customFormat="1" ht="15" hidden="1">
      <c r="B99" s="44" t="s">
        <v>55</v>
      </c>
      <c r="C99" s="45">
        <f>+by</f>
        <v>0</v>
      </c>
      <c r="D99" s="45">
        <f>+ty</f>
        <v>0</v>
      </c>
      <c r="E99" s="45">
        <v>2020</v>
      </c>
      <c r="F99" s="45">
        <v>2030</v>
      </c>
      <c r="G99" s="45">
        <v>2040</v>
      </c>
      <c r="H99" s="45">
        <v>2050</v>
      </c>
      <c r="I99" s="98">
        <v>2060</v>
      </c>
    </row>
    <row r="100" spans="2:9" customFormat="1" ht="15" hidden="1">
      <c r="B100" s="45"/>
      <c r="C100" s="46"/>
      <c r="D100" s="46"/>
      <c r="E100" s="46"/>
      <c r="F100" s="46"/>
      <c r="G100" s="46"/>
      <c r="H100" s="46"/>
      <c r="I100" s="93"/>
    </row>
    <row r="101" spans="2:9" customFormat="1" ht="14.25" hidden="1" customHeight="1">
      <c r="B101" s="45" t="s">
        <v>19</v>
      </c>
      <c r="C101" s="46" t="e">
        <f>IF(ISNUMBER(FIND("economy",modes)),"",VLOOKUP(modes,ACTIVITY_B2DS,by-2010+2,FALSE)*10^9)</f>
        <v>#VALUE!</v>
      </c>
      <c r="D101" s="46" t="e">
        <f>IF(ISNUMBER(FIND("economy",modes)),"",VLOOKUP(modes,ACTIVITY_B2DS,ty-2010+2,FALSE)*10^9)</f>
        <v>#VALUE!</v>
      </c>
      <c r="E101" s="46">
        <f>IF(ISNUMBER(FIND("economy",modes)),"",VLOOKUP(modes,ACTIVITY_B2DS,E87-2010+2,FALSE)*10^9)</f>
        <v>56403780891882.578</v>
      </c>
      <c r="F101" s="46">
        <f>IF(ISNUMBER(FIND("economy",modes)),"",VLOOKUP(modes,ACTIVITY_B2DS,F87-2010+2,FALSE)*10^9)</f>
        <v>66816896440861.805</v>
      </c>
      <c r="G101" s="46">
        <f>IF(ISNUMBER(FIND("economy",modes)),"",VLOOKUP(modes,ACTIVITY_B2DS,G87-2010+2,FALSE)*10^9)</f>
        <v>78435950697371.437</v>
      </c>
      <c r="H101" s="46">
        <f>IF(ISNUMBER(FIND("economy",modes)),"",VLOOKUP(modes,ACTIVITY_B2DS,H87-2010+2,FALSE)*10^9)</f>
        <v>94808233795845.797</v>
      </c>
      <c r="I101" s="93"/>
    </row>
    <row r="102" spans="2:9" customFormat="1" ht="15" hidden="1">
      <c r="B102" s="45" t="s">
        <v>53</v>
      </c>
      <c r="C102" s="46" t="e">
        <f>IF(transport_type="Emissions from new vehicles",IF(ISNUMBER(FIND("economy",modes)),VLOOKUP(modes,TTWIntensity_B2DS,by-2010+2,FALSE),VLOOKUP(modes,WTWIntensity_B2DS,by-2010+2,FALSE)),"")</f>
        <v>#NAME?</v>
      </c>
      <c r="D102" s="46" t="e">
        <f>IF(transport_type="Emissions from new vehicles",IF(ISNUMBER(FIND("economy",modes)),VLOOKUP(modes,TTWIntensity_B2DS,ty-2010+2,FALSE),VLOOKUP(modes,WTWIntensity_B2DS,ty-2010+2,FALSE)),"")</f>
        <v>#NAME?</v>
      </c>
      <c r="E102" s="46" t="e">
        <f>IF(transport_type="Emissions from new vehicles",IF(ISNUMBER(FIND("economy",modes)),VLOOKUP(modes,TTWIntensity_B2DS,E99-2010+2,FALSE),VLOOKUP(modes,WTWIntensity_B2DS,E99-2010+2,FALSE)),"")</f>
        <v>#NAME?</v>
      </c>
      <c r="F102" s="46" t="e">
        <f>IF(transport_type="Emissions from new vehicles",IF(ISNUMBER(FIND("economy",modes)),VLOOKUP(modes,TTWIntensity_B2DS,F99-2010+2,FALSE),VLOOKUP(modes,WTWIntensity_B2DS,F99-2010+2,FALSE)),"")</f>
        <v>#NAME?</v>
      </c>
      <c r="G102" s="46" t="e">
        <f>IF(transport_type="Emissions from new vehicles",IF(ISNUMBER(FIND("economy",modes)),VLOOKUP(modes,TTWIntensity_B2DS,G99-2010+2,FALSE),VLOOKUP(modes,WTWIntensity_B2DS,G99-2010+2,FALSE)),"")</f>
        <v>#NAME?</v>
      </c>
      <c r="H102" s="46" t="e">
        <f>IF(transport_type="Emissions from new vehicles",IF(ISNUMBER(FIND("economy",modes)),VLOOKUP(modes,TTWIntensity_B2DS,H99-2010+2,FALSE),VLOOKUP(modes,WTWIntensity_B2DS,H99-2010+2,FALSE)),"")</f>
        <v>#NAME?</v>
      </c>
      <c r="I102" s="93" t="e">
        <f>IF(transport_type="Emissions from new vehicles",IF(ISNUMBER(FIND("economy",modes)),VLOOKUP(modes,TTWIntensity_B2DS,I99-2010+2,FALSE),VLOOKUP(modes,WTWIntensity_B2DS,I99-2010+2,FALSE)),"")</f>
        <v>#NAME?</v>
      </c>
    </row>
    <row r="103" spans="2:9" customFormat="1" ht="15" hidden="1">
      <c r="B103" s="45"/>
      <c r="C103" s="47"/>
      <c r="D103" s="47"/>
      <c r="E103" s="46"/>
      <c r="F103" s="46"/>
      <c r="G103" s="46"/>
      <c r="H103" s="46"/>
      <c r="I103" s="93"/>
    </row>
    <row r="104" spans="2:9" customFormat="1" ht="15" hidden="1">
      <c r="B104" s="45" t="s">
        <v>15</v>
      </c>
      <c r="C104" s="46" t="e">
        <f t="shared" ref="C104:I104" si="28">$C108-$H102</f>
        <v>#NAME?</v>
      </c>
      <c r="D104" s="46" t="e">
        <f t="shared" si="28"/>
        <v>#NAME?</v>
      </c>
      <c r="E104" s="46" t="e">
        <f t="shared" si="28"/>
        <v>#NAME?</v>
      </c>
      <c r="F104" s="46" t="e">
        <f t="shared" si="28"/>
        <v>#NAME?</v>
      </c>
      <c r="G104" s="46" t="e">
        <f t="shared" si="28"/>
        <v>#NAME?</v>
      </c>
      <c r="H104" s="46" t="e">
        <f t="shared" si="28"/>
        <v>#NAME?</v>
      </c>
      <c r="I104" s="93" t="e">
        <f t="shared" si="28"/>
        <v>#NAME?</v>
      </c>
    </row>
    <row r="105" spans="2:9" customFormat="1" ht="15" hidden="1">
      <c r="B105" s="45" t="s">
        <v>22</v>
      </c>
      <c r="C105" s="46" t="e">
        <f>IF(ISNUMBER(FIND("economy",modes)),1,IF((C107/$C101)/(C107/C101)&lt;=1,(C107/$C101)/(C107/C101),1))</f>
        <v>#VALUE!</v>
      </c>
      <c r="D105" s="46" t="e">
        <f>IF(ISNUMBER(FIND("economy",modes)),1,IF(($C107/$C101)/(D107/D101)&lt;=1,($C107/$C101)/(D107/D101),1))</f>
        <v>#VALUE!</v>
      </c>
      <c r="E105" s="46" t="e">
        <f>IF(ISNUMBER(FIND("economy",modes)),1,IF(($C107/$C101)/(E107/E101)&lt;=1,($C107/$C101)/(E107/E101),1))</f>
        <v>#VALUE!</v>
      </c>
      <c r="F105" s="46" t="e">
        <f>IF(ISNUMBER(FIND("economy",modes)),1,IF(($C107/$C101)/(F107/F101)&lt;=1,($C107/$C101)/(F107/F101),1))</f>
        <v>#VALUE!</v>
      </c>
      <c r="G105" s="46" t="e">
        <f>IF(ISNUMBER(FIND("economy",modes)),1,IF(($C107/$C101)/(G107/G101)&lt;=1,($C107/$C101)/(G107/G101),1))</f>
        <v>#VALUE!</v>
      </c>
      <c r="H105" s="46" t="e">
        <f>IF(ISNUMBER(FIND("economy",modes)),1,IF(($C107/$C101)/(H107/H101)&lt;=1,($C107/$C101)/(H107/H101),1))</f>
        <v>#VALUE!</v>
      </c>
      <c r="I105" s="93"/>
    </row>
    <row r="106" spans="2:9" customFormat="1" ht="15" hidden="1">
      <c r="B106" s="45" t="s">
        <v>23</v>
      </c>
      <c r="C106" s="46" t="e">
        <f t="shared" ref="C106:I106" si="29">(C102-$H102)/($C102-$H102)</f>
        <v>#NAME?</v>
      </c>
      <c r="D106" s="46" t="e">
        <f t="shared" si="29"/>
        <v>#NAME?</v>
      </c>
      <c r="E106" s="46" t="e">
        <f t="shared" si="29"/>
        <v>#NAME?</v>
      </c>
      <c r="F106" s="46" t="e">
        <f t="shared" si="29"/>
        <v>#NAME?</v>
      </c>
      <c r="G106" s="46" t="e">
        <f t="shared" si="29"/>
        <v>#NAME?</v>
      </c>
      <c r="H106" s="46" t="e">
        <f t="shared" si="29"/>
        <v>#NAME?</v>
      </c>
      <c r="I106" s="93" t="e">
        <f t="shared" si="29"/>
        <v>#NAME?</v>
      </c>
    </row>
    <row r="107" spans="2:9" customFormat="1" ht="15" hidden="1">
      <c r="B107" s="45" t="s">
        <v>24</v>
      </c>
      <c r="C107" s="46" t="str">
        <f>IF(ISNUMBER(FIND("New",modes)),activity_by,"")</f>
        <v/>
      </c>
      <c r="D107" s="46" t="e">
        <f>IF(ISNUMBER(FIND("New",modes)),activity_ty,activity_ty/activity_by)</f>
        <v>#DIV/0!</v>
      </c>
      <c r="E107" s="46" t="e">
        <f>IF(ISNUMBER(FIND("New",modes)),(activity_ty-activity_by)/(ty-by)*(E87-by)+activity_by,((activity_ty-activity_by)/(ty-by)*(E87-by)+activity_by)/activity_by)</f>
        <v>#DIV/0!</v>
      </c>
      <c r="F107" s="46" t="e">
        <f>IF(ISNUMBER(FIND("New",modes)),(activity_ty-activity_by)/(ty-by)*(F87-by)+activity_by,((activity_ty-activity_by)/(ty-by)*(F87-by)+activity_by)/activity_by)</f>
        <v>#DIV/0!</v>
      </c>
      <c r="G107" s="46" t="e">
        <f>IF(ISNUMBER(FIND("New",modes)),(activity_ty-activity_by)/(ty-by)*(G87-by)+activity_by,((activity_ty-activity_by)/(ty-by)*(G87-by)+activity_by)/activity_by)</f>
        <v>#DIV/0!</v>
      </c>
      <c r="H107" s="46" t="e">
        <f>IF(ISNUMBER(FIND("New",modes)),(activity_ty-activity_by)/(ty-by)*(H87-by)+activity_by,((activity_ty-activity_by)/(ty-by)*(H87-by)+activity_by)/activity_by)</f>
        <v>#DIV/0!</v>
      </c>
      <c r="I107" s="93"/>
    </row>
    <row r="108" spans="2:9" customFormat="1" ht="15" hidden="1">
      <c r="B108" s="45" t="s">
        <v>54</v>
      </c>
      <c r="C108" s="47">
        <f>IF($C$5="Fuel economy",Fuel_economy,0)</f>
        <v>0</v>
      </c>
      <c r="D108" s="47" t="e">
        <f t="shared" ref="D108:I108" si="30">(D104*D105*D106)+$H102</f>
        <v>#NAME?</v>
      </c>
      <c r="E108" s="46" t="e">
        <f t="shared" si="30"/>
        <v>#NAME?</v>
      </c>
      <c r="F108" s="46" t="e">
        <f t="shared" si="30"/>
        <v>#NAME?</v>
      </c>
      <c r="G108" s="46" t="e">
        <f t="shared" si="30"/>
        <v>#NAME?</v>
      </c>
      <c r="H108" s="46" t="e">
        <f t="shared" si="30"/>
        <v>#NAME?</v>
      </c>
      <c r="I108" s="93" t="e">
        <f t="shared" si="30"/>
        <v>#NAME?</v>
      </c>
    </row>
    <row r="109" spans="2:9" customFormat="1" ht="15" hidden="1"/>
    <row r="110" spans="2:9" customFormat="1" ht="15" hidden="1"/>
    <row r="111" spans="2:9" customFormat="1" ht="15" hidden="1">
      <c r="D111" s="44" t="s">
        <v>50</v>
      </c>
      <c r="E111" s="44" t="s">
        <v>51</v>
      </c>
      <c r="F111" s="44" t="s">
        <v>52</v>
      </c>
    </row>
    <row r="112" spans="2:9" customFormat="1" ht="15" hidden="1">
      <c r="B112" s="45"/>
      <c r="C112" s="46"/>
      <c r="D112" s="46"/>
      <c r="E112" s="46"/>
      <c r="F112" s="46"/>
    </row>
    <row r="113" spans="2:9" customFormat="1" ht="15" hidden="1"/>
    <row r="114" spans="2:9" customFormat="1" ht="15" hidden="1"/>
    <row r="115" spans="2:9" customFormat="1" ht="15" hidden="1"/>
    <row r="116" spans="2:9" customFormat="1" ht="15">
      <c r="B116" s="43"/>
      <c r="C116" s="44" t="s">
        <v>1</v>
      </c>
      <c r="D116" s="44" t="s">
        <v>2</v>
      </c>
      <c r="E116" s="245" t="s">
        <v>17</v>
      </c>
      <c r="F116" s="245"/>
      <c r="G116" s="245"/>
      <c r="H116" s="245"/>
      <c r="I116" s="245"/>
    </row>
    <row r="117" spans="2:9" customFormat="1" ht="15">
      <c r="B117" s="44" t="s">
        <v>192</v>
      </c>
      <c r="C117" s="45">
        <f>+by</f>
        <v>0</v>
      </c>
      <c r="D117" s="45">
        <f>+ty</f>
        <v>0</v>
      </c>
      <c r="E117" s="45">
        <v>2020</v>
      </c>
      <c r="F117" s="45">
        <v>2030</v>
      </c>
      <c r="G117" s="45">
        <v>2040</v>
      </c>
      <c r="H117" s="45">
        <v>2050</v>
      </c>
      <c r="I117" s="98">
        <v>2060</v>
      </c>
    </row>
    <row r="118" spans="2:9" customFormat="1" ht="15">
      <c r="B118" s="45"/>
      <c r="C118" s="46"/>
      <c r="D118" s="46"/>
      <c r="E118" s="46"/>
      <c r="F118" s="46"/>
      <c r="G118" s="46"/>
      <c r="H118" s="46"/>
      <c r="I118" s="93"/>
    </row>
    <row r="119" spans="2:9" customFormat="1" ht="15">
      <c r="B119" s="45" t="s">
        <v>19</v>
      </c>
      <c r="C119" s="46" t="e">
        <f>VLOOKUP(modes,ACTIVITY_2DS,by-2012+2,FALSE)</f>
        <v>#VALUE!</v>
      </c>
      <c r="D119" s="46" t="e">
        <f>VLOOKUP(modes,ACTIVITY_2DS,ty-2012+2,FALSE)</f>
        <v>#VALUE!</v>
      </c>
      <c r="E119" s="46">
        <f>VLOOKUP(modes,ACTIVITY_2DS,E117-2012+2,FALSE)</f>
        <v>84513291.590276346</v>
      </c>
      <c r="F119" s="46">
        <f>VLOOKUP(modes,ACTIVITY_2DS,F117-2012+2,FALSE)</f>
        <v>98534386.349129558</v>
      </c>
      <c r="G119" s="46">
        <f>VLOOKUP(modes,ACTIVITY_2DS,G117-2012+2,FALSE)</f>
        <v>105559700.85439719</v>
      </c>
      <c r="H119" s="46">
        <f>VLOOKUP(modes,ACTIVITY_2DS,H117-2012+2,FALSE)</f>
        <v>123135405.37905237</v>
      </c>
      <c r="I119" s="93"/>
    </row>
    <row r="120" spans="2:9" customFormat="1" ht="15">
      <c r="B120" s="45" t="s">
        <v>20</v>
      </c>
      <c r="C120" s="46" t="e">
        <f>VLOOKUP(modes,S2_Intensity_B2DS,by-2012+2,FALSE)</f>
        <v>#VALUE!</v>
      </c>
      <c r="D120" s="46" t="e">
        <f>VLOOKUP(modes,S2_Intensity_B2DS,ty-2012+2,FALSE)</f>
        <v>#VALUE!</v>
      </c>
      <c r="E120" s="46">
        <f>VLOOKUP(modes,S2_Intensity_B2DS,E117-2012+2,FALSE)</f>
        <v>407.35003316137016</v>
      </c>
      <c r="F120" s="46">
        <f>VLOOKUP(modes,S2_Intensity_B2DS,F117-2012+2,FALSE)</f>
        <v>188.7474862521465</v>
      </c>
      <c r="G120" s="46">
        <f>VLOOKUP(modes,S2_Intensity_B2DS,G117-2012+2,FALSE)</f>
        <v>64.442247678482516</v>
      </c>
      <c r="H120" s="46">
        <f>VLOOKUP(modes,S2_Intensity_B2DS,H117-2012+2,FALSE)</f>
        <v>-6.9175833222959371</v>
      </c>
      <c r="I120" s="93"/>
    </row>
    <row r="121" spans="2:9" customFormat="1" ht="15">
      <c r="B121" s="45"/>
      <c r="C121" s="47"/>
      <c r="D121" s="47"/>
      <c r="E121" s="46"/>
      <c r="F121" s="46"/>
      <c r="G121" s="46"/>
      <c r="H121" s="46"/>
      <c r="I121" s="93"/>
    </row>
    <row r="122" spans="2:9" customFormat="1" ht="15">
      <c r="B122" s="45" t="s">
        <v>15</v>
      </c>
      <c r="C122" s="46">
        <f t="shared" ref="C122:H122" si="31">$C126-$H120</f>
        <v>6.9175833222959371</v>
      </c>
      <c r="D122" s="46">
        <f t="shared" si="31"/>
        <v>6.9175833222959371</v>
      </c>
      <c r="E122" s="46">
        <f t="shared" si="31"/>
        <v>6.9175833222959371</v>
      </c>
      <c r="F122" s="46">
        <f t="shared" si="31"/>
        <v>6.9175833222959371</v>
      </c>
      <c r="G122" s="46">
        <f t="shared" si="31"/>
        <v>6.9175833222959371</v>
      </c>
      <c r="H122" s="46">
        <f t="shared" si="31"/>
        <v>6.9175833222959371</v>
      </c>
      <c r="I122" s="93"/>
    </row>
    <row r="123" spans="2:9" customFormat="1" ht="15">
      <c r="B123" s="45" t="s">
        <v>22</v>
      </c>
      <c r="C123" s="46" t="e">
        <f>IF((C125/$C119)/(C125/C119)&lt;=1,(C125/$C119)/(C125/C119),1)</f>
        <v>#VALUE!</v>
      </c>
      <c r="D123" s="46" t="e">
        <f>IF(($C125/$C119)/(D125/D119)&lt;=1,($C125/$C119)/(D125/D119),1)</f>
        <v>#VALUE!</v>
      </c>
      <c r="E123" s="46" t="e">
        <f>IF(($C125/$C119)/(E125/E119)&lt;=1,($C125/$C119)/(E125/E119),1)</f>
        <v>#VALUE!</v>
      </c>
      <c r="F123" s="46" t="e">
        <f>IF(($C125/$C119)/(F125/F119)&lt;=1,($C125/$C119)/(F125/F119),1)</f>
        <v>#VALUE!</v>
      </c>
      <c r="G123" s="46" t="e">
        <f>IF(($C125/$C119)/(G125/G119)&lt;=1,($C125/$C119)/(G125/G119),1)</f>
        <v>#VALUE!</v>
      </c>
      <c r="H123" s="46" t="e">
        <f>IF(($C125/$C119)/(H125/H119)&lt;=1,($C125/$C119)/(H125/H119),1)</f>
        <v>#VALUE!</v>
      </c>
      <c r="I123" s="93"/>
    </row>
    <row r="124" spans="2:9" customFormat="1" ht="15">
      <c r="B124" s="45" t="s">
        <v>23</v>
      </c>
      <c r="C124" s="46" t="e">
        <f t="shared" ref="C124:H124" si="32">(C120-$H120)/($C120-$H120)</f>
        <v>#VALUE!</v>
      </c>
      <c r="D124" s="46" t="e">
        <f t="shared" si="32"/>
        <v>#VALUE!</v>
      </c>
      <c r="E124" s="46" t="e">
        <f t="shared" si="32"/>
        <v>#VALUE!</v>
      </c>
      <c r="F124" s="46" t="e">
        <f t="shared" si="32"/>
        <v>#VALUE!</v>
      </c>
      <c r="G124" s="46" t="e">
        <f t="shared" si="32"/>
        <v>#VALUE!</v>
      </c>
      <c r="H124" s="46" t="e">
        <f t="shared" si="32"/>
        <v>#VALUE!</v>
      </c>
      <c r="I124" s="93"/>
    </row>
    <row r="125" spans="2:9" customFormat="1" ht="15">
      <c r="B125" s="45" t="s">
        <v>24</v>
      </c>
      <c r="C125" s="46">
        <f>activity_by</f>
        <v>0</v>
      </c>
      <c r="D125" s="46">
        <f>activity_ty</f>
        <v>0</v>
      </c>
      <c r="E125" s="46" t="e">
        <f>(activity_ty-activity_by)/(ty-by)*(E117-by)+activity_by</f>
        <v>#DIV/0!</v>
      </c>
      <c r="F125" s="46" t="e">
        <f>(activity_ty-activity_by)/(ty-by)*(F117-by)+activity_by</f>
        <v>#DIV/0!</v>
      </c>
      <c r="G125" s="46" t="e">
        <f>(activity_ty-activity_by)/(ty-by)*(G117-by)+activity_by</f>
        <v>#DIV/0!</v>
      </c>
      <c r="H125" s="46" t="e">
        <f>(activity_ty-activity_by)/(ty-by)*(H117-by)+activity_by</f>
        <v>#DIV/0!</v>
      </c>
      <c r="I125" s="93"/>
    </row>
    <row r="126" spans="2:9" customFormat="1" ht="15">
      <c r="B126" s="45" t="s">
        <v>25</v>
      </c>
      <c r="C126" s="47">
        <f>Tool!C24</f>
        <v>0</v>
      </c>
      <c r="D126" s="47" t="e">
        <f>(D122*D123*D124)+$H120</f>
        <v>#VALUE!</v>
      </c>
      <c r="E126" s="46" t="e">
        <f>(E122*E123*E124)+$H120</f>
        <v>#VALUE!</v>
      </c>
      <c r="F126" s="46" t="e">
        <f>(F122*F123*F124)+$H120</f>
        <v>#VALUE!</v>
      </c>
      <c r="G126" s="46" t="e">
        <f>(G122*G123*G124)+$H120</f>
        <v>#VALUE!</v>
      </c>
      <c r="H126" s="46" t="e">
        <f>(H122*H123*H124)+$H120</f>
        <v>#VALUE!</v>
      </c>
      <c r="I126" s="93"/>
    </row>
    <row r="127" spans="2:9" customFormat="1" ht="15"/>
    <row r="128" spans="2:9" customFormat="1" ht="15">
      <c r="B128" s="43"/>
      <c r="C128" s="44" t="s">
        <v>1</v>
      </c>
      <c r="D128" s="44" t="s">
        <v>2</v>
      </c>
      <c r="E128" s="245" t="s">
        <v>17</v>
      </c>
      <c r="F128" s="245"/>
      <c r="G128" s="245"/>
      <c r="H128" s="245"/>
      <c r="I128" s="245"/>
    </row>
    <row r="129" spans="2:9" customFormat="1" ht="15">
      <c r="B129" s="44" t="s">
        <v>198</v>
      </c>
      <c r="C129" s="45">
        <f>+by</f>
        <v>0</v>
      </c>
      <c r="D129" s="45">
        <f>+ty</f>
        <v>0</v>
      </c>
      <c r="E129" s="45">
        <v>2020</v>
      </c>
      <c r="F129" s="45">
        <v>2030</v>
      </c>
      <c r="G129" s="45">
        <v>2040</v>
      </c>
      <c r="H129" s="45">
        <v>2050</v>
      </c>
      <c r="I129" s="98">
        <v>2060</v>
      </c>
    </row>
    <row r="130" spans="2:9" customFormat="1" ht="15">
      <c r="B130" s="45"/>
      <c r="C130" s="46"/>
      <c r="D130" s="46"/>
      <c r="E130" s="46"/>
      <c r="F130" s="46"/>
      <c r="G130" s="46"/>
      <c r="H130" s="46"/>
      <c r="I130" s="93"/>
    </row>
    <row r="131" spans="2:9" customFormat="1" ht="15">
      <c r="B131" s="45" t="s">
        <v>19</v>
      </c>
      <c r="C131" s="46" t="e">
        <f>VLOOKUP(modes,ACTIVITY_2DS,by-2012+2,FALSE)</f>
        <v>#VALUE!</v>
      </c>
      <c r="D131" s="46" t="e">
        <f>VLOOKUP(modes,ACTIVITY_2DS,ty-2012+2,FALSE)</f>
        <v>#VALUE!</v>
      </c>
      <c r="E131" s="46">
        <f>VLOOKUP(modes,ACTIVITY_2DS,E129-2012+2,FALSE)</f>
        <v>84513291.590276346</v>
      </c>
      <c r="F131" s="46">
        <f>VLOOKUP(modes,ACTIVITY_2DS,F129-2012+2,FALSE)</f>
        <v>98534386.349129558</v>
      </c>
      <c r="G131" s="46">
        <f>VLOOKUP(modes,ACTIVITY_2DS,G129-2012+2,FALSE)</f>
        <v>105559700.85439719</v>
      </c>
      <c r="H131" s="46">
        <f>VLOOKUP(modes,ACTIVITY_2DS,H129-2012+2,FALSE)</f>
        <v>123135405.37905237</v>
      </c>
      <c r="I131" s="93"/>
    </row>
    <row r="132" spans="2:9" customFormat="1" ht="15">
      <c r="B132" s="45" t="s">
        <v>20</v>
      </c>
      <c r="C132" s="46" t="e">
        <f t="shared" ref="C132:H132" si="33">+C90+C120</f>
        <v>#VALUE!</v>
      </c>
      <c r="D132" s="46" t="e">
        <f t="shared" si="33"/>
        <v>#VALUE!</v>
      </c>
      <c r="E132" s="46">
        <f t="shared" si="33"/>
        <v>612.49773768263071</v>
      </c>
      <c r="F132" s="46">
        <f t="shared" si="33"/>
        <v>326.58544289483245</v>
      </c>
      <c r="G132" s="46">
        <f t="shared" si="33"/>
        <v>180.07590525271945</v>
      </c>
      <c r="H132" s="46">
        <f t="shared" si="33"/>
        <v>74.967269229509128</v>
      </c>
      <c r="I132" s="93"/>
    </row>
    <row r="133" spans="2:9" customFormat="1" ht="15">
      <c r="B133" s="45"/>
      <c r="C133" s="47"/>
      <c r="D133" s="47"/>
      <c r="E133" s="46"/>
      <c r="F133" s="46"/>
      <c r="G133" s="46"/>
      <c r="H133" s="46"/>
      <c r="I133" s="93"/>
    </row>
    <row r="134" spans="2:9" customFormat="1" ht="15">
      <c r="B134" s="45" t="s">
        <v>15</v>
      </c>
      <c r="C134" s="46">
        <f>$C138-$H132</f>
        <v>-74.967269229509128</v>
      </c>
      <c r="D134" s="46">
        <f t="shared" ref="D134:H134" si="34">$C138-$H132</f>
        <v>-74.967269229509128</v>
      </c>
      <c r="E134" s="46">
        <f t="shared" si="34"/>
        <v>-74.967269229509128</v>
      </c>
      <c r="F134" s="46">
        <f t="shared" si="34"/>
        <v>-74.967269229509128</v>
      </c>
      <c r="G134" s="46">
        <f t="shared" si="34"/>
        <v>-74.967269229509128</v>
      </c>
      <c r="H134" s="46">
        <f t="shared" si="34"/>
        <v>-74.967269229509128</v>
      </c>
      <c r="I134" s="93"/>
    </row>
    <row r="135" spans="2:9" customFormat="1" ht="15">
      <c r="B135" s="45" t="s">
        <v>22</v>
      </c>
      <c r="C135" s="46" t="e">
        <f>IF((C137/$C131)/(C137/C131)&lt;=1,(C137/$C131)/(C137/C131),1)</f>
        <v>#VALUE!</v>
      </c>
      <c r="D135" s="46" t="e">
        <f>IF(($C137/$C131)/(D137/D131)&lt;=1,($C137/$C131)/(D137/D131),1)</f>
        <v>#VALUE!</v>
      </c>
      <c r="E135" s="46" t="e">
        <f>IF(($C137/$C131)/(E137/E131)&lt;=1,($C137/$C131)/(E137/E131),1)</f>
        <v>#VALUE!</v>
      </c>
      <c r="F135" s="46" t="e">
        <f>IF(($C137/$C131)/(F137/F131)&lt;=1,($C137/$C131)/(F137/F131),1)</f>
        <v>#VALUE!</v>
      </c>
      <c r="G135" s="46" t="e">
        <f>IF(($C137/$C131)/(G137/G131)&lt;=1,($C137/$C131)/(G137/G131),1)</f>
        <v>#VALUE!</v>
      </c>
      <c r="H135" s="46" t="e">
        <f>IF(($C137/$C131)/(H137/H131)&lt;=1,($C137/$C131)/(H137/H131),1)</f>
        <v>#VALUE!</v>
      </c>
      <c r="I135" s="93"/>
    </row>
    <row r="136" spans="2:9" customFormat="1" ht="15">
      <c r="B136" s="45" t="s">
        <v>23</v>
      </c>
      <c r="C136" s="46" t="e">
        <f>(C132-$H132)/($C132-$H132)</f>
        <v>#VALUE!</v>
      </c>
      <c r="D136" s="46" t="e">
        <f t="shared" ref="D136:H136" si="35">(D132-$H132)/($C132-$H132)</f>
        <v>#VALUE!</v>
      </c>
      <c r="E136" s="46" t="e">
        <f t="shared" si="35"/>
        <v>#VALUE!</v>
      </c>
      <c r="F136" s="46" t="e">
        <f t="shared" si="35"/>
        <v>#VALUE!</v>
      </c>
      <c r="G136" s="46" t="e">
        <f t="shared" si="35"/>
        <v>#VALUE!</v>
      </c>
      <c r="H136" s="46" t="e">
        <f t="shared" si="35"/>
        <v>#VALUE!</v>
      </c>
      <c r="I136" s="93"/>
    </row>
    <row r="137" spans="2:9" customFormat="1" ht="15">
      <c r="B137" s="45" t="s">
        <v>24</v>
      </c>
      <c r="C137" s="46">
        <f>activity_by</f>
        <v>0</v>
      </c>
      <c r="D137" s="46">
        <f>activity_ty</f>
        <v>0</v>
      </c>
      <c r="E137" s="46" t="e">
        <f>(activity_ty-activity_by)/(ty-by)*(E129-by)+activity_by</f>
        <v>#DIV/0!</v>
      </c>
      <c r="F137" s="46" t="e">
        <f>(activity_ty-activity_by)/(ty-by)*(F129-by)+activity_by</f>
        <v>#DIV/0!</v>
      </c>
      <c r="G137" s="46" t="e">
        <f>(activity_ty-activity_by)/(ty-by)*(G129-by)+activity_by</f>
        <v>#DIV/0!</v>
      </c>
      <c r="H137" s="46" t="e">
        <f>(activity_ty-activity_by)/(ty-by)*(H129-by)+activity_by</f>
        <v>#DIV/0!</v>
      </c>
      <c r="I137" s="93"/>
    </row>
    <row r="138" spans="2:9" customFormat="1" ht="15">
      <c r="B138" s="45" t="s">
        <v>25</v>
      </c>
      <c r="C138" s="47">
        <f>+C12</f>
        <v>0</v>
      </c>
      <c r="D138" s="234" t="e">
        <f>(D134*D135*D136)+$H132</f>
        <v>#VALUE!</v>
      </c>
      <c r="E138" s="235" t="e">
        <f>(E134*E135*E136)+$H132</f>
        <v>#VALUE!</v>
      </c>
      <c r="F138" s="235" t="e">
        <f>(F134*F135*F136)+$H132</f>
        <v>#VALUE!</v>
      </c>
      <c r="G138" s="235" t="e">
        <f>(G134*G135*G136)+$H132</f>
        <v>#VALUE!</v>
      </c>
      <c r="H138" s="46" t="e">
        <f>(H134*H135*H136)+$H132</f>
        <v>#VALUE!</v>
      </c>
      <c r="I138" s="93"/>
    </row>
    <row r="139" spans="2:9" customFormat="1" ht="15"/>
    <row r="140" spans="2:9" customFormat="1" ht="15">
      <c r="C140" s="34"/>
      <c r="D140" s="34"/>
      <c r="E140" s="33"/>
      <c r="F140" s="33"/>
      <c r="G140" s="33"/>
      <c r="H140" s="33"/>
    </row>
    <row r="141" spans="2:9" customFormat="1" ht="15">
      <c r="C141" s="237"/>
      <c r="D141" s="237"/>
      <c r="E141" s="237"/>
      <c r="F141" s="237"/>
      <c r="G141" s="237"/>
      <c r="H141" s="237"/>
    </row>
    <row r="142" spans="2:9" customFormat="1" ht="15">
      <c r="C142" s="237"/>
      <c r="D142" s="237"/>
      <c r="E142" s="237"/>
      <c r="F142" s="237"/>
      <c r="G142" s="237"/>
      <c r="H142" s="237"/>
    </row>
    <row r="143" spans="2:9" customFormat="1" ht="15">
      <c r="C143" s="237"/>
      <c r="D143" s="237"/>
      <c r="E143" s="237"/>
      <c r="F143" s="237"/>
      <c r="G143" s="237"/>
      <c r="H143" s="237"/>
    </row>
    <row r="144" spans="2:9" customFormat="1" ht="15">
      <c r="C144" s="237"/>
      <c r="D144" s="237"/>
      <c r="E144" s="237"/>
      <c r="F144" s="237"/>
      <c r="G144" s="237"/>
      <c r="H144" s="237"/>
      <c r="I144" s="33"/>
    </row>
    <row r="145" spans="3:13" customFormat="1" ht="15">
      <c r="C145" s="237"/>
      <c r="D145" s="237"/>
      <c r="E145" s="237"/>
      <c r="F145" s="237"/>
      <c r="G145" s="237"/>
      <c r="H145" s="237"/>
      <c r="I145" s="33"/>
    </row>
    <row r="146" spans="3:13" customFormat="1" ht="15">
      <c r="C146" s="237"/>
      <c r="D146" s="237"/>
      <c r="E146" s="237"/>
      <c r="F146" s="237"/>
      <c r="G146" s="237"/>
      <c r="H146" s="237"/>
      <c r="I146" s="33"/>
    </row>
    <row r="147" spans="3:13" customFormat="1" ht="15">
      <c r="D147" s="207"/>
      <c r="E147" s="207"/>
      <c r="F147" s="207"/>
      <c r="G147" s="207"/>
      <c r="H147" s="207"/>
      <c r="I147" s="33"/>
    </row>
    <row r="148" spans="3:13" customFormat="1" ht="15">
      <c r="D148" s="207"/>
      <c r="E148" s="207"/>
      <c r="F148" s="207"/>
      <c r="G148" s="207"/>
      <c r="H148" s="207"/>
      <c r="I148" s="33"/>
    </row>
    <row r="149" spans="3:13" customFormat="1" ht="15">
      <c r="D149" s="207"/>
      <c r="E149" s="207"/>
      <c r="F149" s="207"/>
      <c r="G149" s="207"/>
      <c r="H149" s="207"/>
      <c r="I149" s="33"/>
    </row>
    <row r="150" spans="3:13" customFormat="1" ht="15">
      <c r="D150" s="207"/>
      <c r="E150" s="207"/>
      <c r="F150" s="207"/>
      <c r="G150" s="207"/>
      <c r="H150" s="207"/>
      <c r="I150" s="33"/>
    </row>
    <row r="151" spans="3:13" customFormat="1" ht="15">
      <c r="D151" s="207"/>
      <c r="E151" s="207"/>
      <c r="F151" s="207"/>
      <c r="G151" s="207"/>
      <c r="H151" s="207"/>
      <c r="I151" s="33"/>
    </row>
    <row r="152" spans="3:13" customFormat="1" ht="15">
      <c r="D152" s="207"/>
      <c r="E152" s="207"/>
      <c r="F152" s="207"/>
      <c r="G152" s="207"/>
      <c r="H152" s="207"/>
      <c r="I152" s="33"/>
    </row>
    <row r="153" spans="3:13" customFormat="1" ht="15">
      <c r="D153" s="207"/>
      <c r="E153" s="207"/>
      <c r="F153" s="207"/>
      <c r="G153" s="207"/>
      <c r="H153" s="207"/>
      <c r="I153" s="207"/>
      <c r="J153" s="207"/>
      <c r="K153" s="207"/>
      <c r="L153" s="207"/>
    </row>
    <row r="154" spans="3:13" customFormat="1" ht="15">
      <c r="D154" s="145"/>
      <c r="E154" s="233"/>
      <c r="F154" s="145"/>
      <c r="G154" s="145"/>
      <c r="H154" s="145"/>
      <c r="I154" s="145"/>
      <c r="J154" s="145"/>
      <c r="K154" s="145"/>
      <c r="L154" s="145"/>
    </row>
    <row r="155" spans="3:13" customFormat="1" ht="15">
      <c r="C155" s="34"/>
      <c r="D155" s="34"/>
      <c r="E155" s="34"/>
      <c r="F155" s="34"/>
      <c r="G155" s="34"/>
      <c r="H155" s="34"/>
      <c r="I155" s="34"/>
      <c r="J155" s="34"/>
      <c r="K155" s="34"/>
      <c r="L155" s="34"/>
    </row>
    <row r="156" spans="3:13" customFormat="1" ht="15">
      <c r="C156" s="34"/>
      <c r="D156" s="236"/>
      <c r="E156" s="236"/>
      <c r="F156" s="236"/>
      <c r="G156" s="236"/>
      <c r="H156" s="236"/>
      <c r="I156" s="236"/>
      <c r="J156" s="236"/>
      <c r="K156" s="236"/>
      <c r="L156" s="236"/>
      <c r="M156" s="236"/>
    </row>
    <row r="157" spans="3:13" customFormat="1" ht="15">
      <c r="C157" s="34"/>
      <c r="D157" s="236"/>
      <c r="E157" s="236"/>
      <c r="F157" s="236"/>
      <c r="G157" s="236"/>
      <c r="H157" s="236"/>
      <c r="I157" s="236"/>
      <c r="J157" s="236"/>
      <c r="K157" s="236"/>
      <c r="L157" s="236"/>
      <c r="M157" s="236"/>
    </row>
    <row r="158" spans="3:13" customFormat="1" ht="15">
      <c r="C158" s="34"/>
      <c r="D158" s="236"/>
      <c r="E158" s="236"/>
      <c r="F158" s="236"/>
      <c r="G158" s="236"/>
      <c r="H158" s="236"/>
      <c r="I158" s="236"/>
      <c r="J158" s="236"/>
      <c r="K158" s="236"/>
      <c r="L158" s="236"/>
    </row>
    <row r="159" spans="3:13" customFormat="1" ht="15">
      <c r="C159" s="34"/>
      <c r="D159" s="236"/>
      <c r="E159" s="236"/>
      <c r="F159" s="236"/>
      <c r="G159" s="236"/>
      <c r="H159" s="236"/>
      <c r="I159" s="236"/>
      <c r="J159" s="236"/>
      <c r="K159" s="236"/>
      <c r="L159" s="236"/>
    </row>
    <row r="160" spans="3:13">
      <c r="D160" s="236"/>
      <c r="E160" s="236"/>
      <c r="F160" s="236"/>
      <c r="G160" s="236"/>
      <c r="H160" s="236"/>
      <c r="I160" s="236"/>
      <c r="J160" s="236"/>
      <c r="K160" s="236"/>
      <c r="L160" s="236"/>
    </row>
    <row r="161" spans="4:12">
      <c r="D161" s="236"/>
      <c r="E161" s="236"/>
      <c r="F161" s="236"/>
      <c r="G161" s="236"/>
      <c r="H161" s="236"/>
      <c r="I161" s="236"/>
      <c r="J161" s="236"/>
      <c r="K161" s="236"/>
      <c r="L161" s="236"/>
    </row>
    <row r="162" spans="4:12">
      <c r="D162" s="236"/>
      <c r="E162" s="236"/>
      <c r="F162" s="236"/>
      <c r="G162" s="236"/>
      <c r="H162" s="236"/>
      <c r="I162" s="236"/>
      <c r="J162" s="236"/>
      <c r="K162" s="236"/>
      <c r="L162" s="236"/>
    </row>
    <row r="163" spans="4:12">
      <c r="D163" s="236"/>
      <c r="E163" s="236"/>
      <c r="F163" s="236"/>
      <c r="G163" s="236"/>
      <c r="H163" s="236"/>
      <c r="I163" s="236"/>
      <c r="J163" s="236"/>
      <c r="K163" s="236"/>
      <c r="L163" s="236"/>
    </row>
  </sheetData>
  <mergeCells count="11">
    <mergeCell ref="E116:I116"/>
    <mergeCell ref="E128:I128"/>
    <mergeCell ref="E98:I98"/>
    <mergeCell ref="E26:I26"/>
    <mergeCell ref="E50:I50"/>
    <mergeCell ref="E38:I38"/>
    <mergeCell ref="C4:D4"/>
    <mergeCell ref="E14:I14"/>
    <mergeCell ref="E62:I62"/>
    <mergeCell ref="E74:I74"/>
    <mergeCell ref="E86:I86"/>
  </mergeCells>
  <pageMargins left="0.7" right="0.7" top="0.75" bottom="0.75" header="0.3" footer="0.3"/>
  <pageSetup paperSize="0" orientation="portrait" horizontalDpi="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J36"/>
  <sheetViews>
    <sheetView workbookViewId="0">
      <selection activeCell="C22" sqref="C22"/>
    </sheetView>
  </sheetViews>
  <sheetFormatPr baseColWidth="10" defaultRowHeight="12"/>
  <cols>
    <col min="1" max="1" width="4.28515625" style="50" customWidth="1"/>
    <col min="2" max="2" width="50.85546875" style="50" bestFit="1" customWidth="1"/>
    <col min="3" max="9" width="12.140625" style="50" customWidth="1"/>
    <col min="10" max="10" width="12.140625" style="58" customWidth="1"/>
    <col min="11" max="16384" width="11.42578125" style="50"/>
  </cols>
  <sheetData>
    <row r="1" spans="2:10" ht="16.5" customHeight="1" thickBot="1">
      <c r="B1" s="22" t="s">
        <v>12</v>
      </c>
      <c r="C1" s="51"/>
      <c r="D1" s="51"/>
      <c r="E1" s="51"/>
      <c r="F1" s="51"/>
      <c r="G1" s="51"/>
      <c r="H1" s="51"/>
      <c r="I1" s="51"/>
      <c r="J1" s="103"/>
    </row>
    <row r="2" spans="2:10" ht="16.5" customHeight="1">
      <c r="B2" s="53"/>
      <c r="H2" s="52"/>
      <c r="J2" s="59"/>
    </row>
    <row r="3" spans="2:10" ht="16.5" customHeight="1">
      <c r="B3" s="61" t="s">
        <v>38</v>
      </c>
      <c r="C3" s="60" t="str">
        <f>modes</f>
        <v>Vehicle manufacturing (PLDV)</v>
      </c>
      <c r="D3" s="54"/>
      <c r="E3" s="54"/>
      <c r="F3" s="54"/>
      <c r="G3" s="52"/>
      <c r="H3" s="52"/>
    </row>
    <row r="4" spans="2:10" ht="16.5" customHeight="1">
      <c r="B4" s="53" t="s">
        <v>216</v>
      </c>
      <c r="C4" s="56"/>
      <c r="D4" s="56"/>
      <c r="E4" s="56"/>
      <c r="F4" s="56"/>
      <c r="G4" s="56"/>
      <c r="H4" s="56"/>
      <c r="I4" s="56"/>
      <c r="J4" s="59"/>
    </row>
    <row r="5" spans="2:10" ht="16.5" customHeight="1">
      <c r="B5" s="53" t="s">
        <v>217</v>
      </c>
      <c r="C5" s="56"/>
      <c r="D5" s="56"/>
      <c r="E5" s="56"/>
      <c r="F5" s="56"/>
      <c r="G5" s="56"/>
      <c r="H5" s="56"/>
      <c r="I5" s="56"/>
      <c r="J5" s="59"/>
    </row>
    <row r="6" spans="2:10" ht="16.5" customHeight="1">
      <c r="B6" s="53" t="s">
        <v>218</v>
      </c>
      <c r="C6" s="56"/>
      <c r="D6" s="56"/>
      <c r="E6" s="56"/>
      <c r="F6" s="56"/>
      <c r="G6" s="56"/>
      <c r="H6" s="56"/>
      <c r="I6" s="56"/>
      <c r="J6" s="59"/>
    </row>
    <row r="7" spans="2:10" ht="16.5" customHeight="1">
      <c r="B7" s="52"/>
      <c r="C7" s="54">
        <f>+by</f>
        <v>0</v>
      </c>
      <c r="D7" s="54">
        <v>2020</v>
      </c>
      <c r="E7" s="54">
        <v>2030</v>
      </c>
      <c r="F7" s="54">
        <v>2040</v>
      </c>
      <c r="G7" s="54">
        <v>2050</v>
      </c>
      <c r="H7" s="54"/>
      <c r="I7" s="54">
        <f>+ty</f>
        <v>0</v>
      </c>
      <c r="J7" s="54" t="s">
        <v>39</v>
      </c>
    </row>
    <row r="8" spans="2:10" ht="16.5" customHeight="1">
      <c r="B8" s="52" t="s">
        <v>82</v>
      </c>
      <c r="C8" s="56">
        <f>Calculations!C138</f>
        <v>0</v>
      </c>
      <c r="D8" s="56" t="e">
        <f>Calculations!E138</f>
        <v>#VALUE!</v>
      </c>
      <c r="E8" s="56" t="e">
        <f>Calculations!F138</f>
        <v>#VALUE!</v>
      </c>
      <c r="F8" s="56" t="e">
        <f>Calculations!G138</f>
        <v>#VALUE!</v>
      </c>
      <c r="G8" s="56" t="e">
        <f>Calculations!H138</f>
        <v>#VALUE!</v>
      </c>
      <c r="H8" s="56"/>
      <c r="I8" s="56" t="e">
        <f>+Calculations!D138</f>
        <v>#VALUE!</v>
      </c>
      <c r="J8" s="59" t="s">
        <v>85</v>
      </c>
    </row>
    <row r="9" spans="2:10" ht="16.5" customHeight="1">
      <c r="B9" s="52" t="s">
        <v>200</v>
      </c>
      <c r="C9" s="56">
        <f>+Calculations!C96</f>
        <v>0</v>
      </c>
      <c r="D9" s="56" t="e">
        <f>+Calculations!E96</f>
        <v>#VALUE!</v>
      </c>
      <c r="E9" s="56" t="e">
        <f>+Calculations!F96</f>
        <v>#VALUE!</v>
      </c>
      <c r="F9" s="56" t="e">
        <f>+Calculations!G96</f>
        <v>#VALUE!</v>
      </c>
      <c r="G9" s="56" t="e">
        <f>+Calculations!H96</f>
        <v>#VALUE!</v>
      </c>
      <c r="H9" s="56"/>
      <c r="I9" s="56" t="e">
        <f>+Calculations!D96</f>
        <v>#VALUE!</v>
      </c>
      <c r="J9" s="59" t="s">
        <v>85</v>
      </c>
    </row>
    <row r="10" spans="2:10" ht="16.5" customHeight="1">
      <c r="B10" s="52" t="s">
        <v>201</v>
      </c>
      <c r="C10" s="56">
        <f>+Calculations!C126</f>
        <v>0</v>
      </c>
      <c r="D10" s="56" t="e">
        <f>+Calculations!E126</f>
        <v>#VALUE!</v>
      </c>
      <c r="E10" s="56" t="e">
        <f>+Calculations!F126</f>
        <v>#VALUE!</v>
      </c>
      <c r="F10" s="56" t="e">
        <f>+Calculations!G126</f>
        <v>#VALUE!</v>
      </c>
      <c r="G10" s="56" t="e">
        <f>+Calculations!H126</f>
        <v>#VALUE!</v>
      </c>
      <c r="H10" s="56"/>
      <c r="I10" s="56" t="e">
        <f>+Calculations!D126</f>
        <v>#VALUE!</v>
      </c>
      <c r="J10" s="59" t="s">
        <v>85</v>
      </c>
    </row>
    <row r="11" spans="2:10" ht="16.5" customHeight="1">
      <c r="B11" s="52" t="s">
        <v>83</v>
      </c>
      <c r="C11" s="56" t="e">
        <f>+C12+C13</f>
        <v>#VALUE!</v>
      </c>
      <c r="D11" s="56">
        <f t="shared" ref="D11:G11" si="0">+D12+D13</f>
        <v>612.49773768263071</v>
      </c>
      <c r="E11" s="56">
        <f t="shared" si="0"/>
        <v>326.58544289483245</v>
      </c>
      <c r="F11" s="56">
        <f t="shared" si="0"/>
        <v>180.07590525271945</v>
      </c>
      <c r="G11" s="56">
        <f t="shared" si="0"/>
        <v>74.967269229509128</v>
      </c>
      <c r="H11" s="56"/>
      <c r="I11" s="56"/>
      <c r="J11" s="59" t="s">
        <v>85</v>
      </c>
    </row>
    <row r="12" spans="2:10" ht="16.5" customHeight="1">
      <c r="B12" s="52" t="s">
        <v>199</v>
      </c>
      <c r="C12" s="57" t="e">
        <f>VLOOKUP(modes,S1_Intensity_B2DS,C7-2012+2,FALSE)</f>
        <v>#VALUE!</v>
      </c>
      <c r="D12" s="57">
        <f>VLOOKUP(modes,S1_Intensity_B2DS,D7-2012+2,FALSE)</f>
        <v>205.14770452126061</v>
      </c>
      <c r="E12" s="57">
        <f>VLOOKUP(modes,S1_Intensity_B2DS,E7-2012+2,FALSE)</f>
        <v>137.83795664268592</v>
      </c>
      <c r="F12" s="57">
        <f>VLOOKUP(modes,S1_Intensity_B2DS,F7-2012+2,FALSE)</f>
        <v>115.63365757423693</v>
      </c>
      <c r="G12" s="57">
        <f>VLOOKUP(modes,S1_Intensity_B2DS,G7-2012+2,FALSE)</f>
        <v>81.884852551805068</v>
      </c>
      <c r="H12" s="57"/>
      <c r="I12" s="56"/>
      <c r="J12" s="59" t="s">
        <v>85</v>
      </c>
    </row>
    <row r="13" spans="2:10" ht="16.5" customHeight="1">
      <c r="B13" s="52" t="s">
        <v>184</v>
      </c>
      <c r="C13" s="57" t="e">
        <f>VLOOKUP(modes,S2_Intensity_B2DS,C7-2012+2,FALSE)</f>
        <v>#VALUE!</v>
      </c>
      <c r="D13" s="57">
        <f>VLOOKUP(modes,S2_Intensity_B2DS,D7-2012+2,FALSE)</f>
        <v>407.35003316137016</v>
      </c>
      <c r="E13" s="57">
        <f>VLOOKUP(modes,S2_Intensity_B2DS,E7-2012+2,FALSE)</f>
        <v>188.7474862521465</v>
      </c>
      <c r="F13" s="57">
        <f>VLOOKUP(modes,S2_Intensity_B2DS,F7-2012+2,FALSE)</f>
        <v>64.442247678482516</v>
      </c>
      <c r="G13" s="57">
        <f>VLOOKUP(modes,S2_Intensity_B2DS,G7-2012+2,FALSE)</f>
        <v>-6.9175833222959371</v>
      </c>
      <c r="H13" s="57"/>
      <c r="I13" s="58"/>
      <c r="J13" s="59" t="s">
        <v>85</v>
      </c>
    </row>
    <row r="14" spans="2:10" ht="16.5" customHeight="1">
      <c r="B14" s="52"/>
      <c r="C14" s="57"/>
      <c r="D14" s="57"/>
      <c r="E14" s="57"/>
      <c r="F14" s="57"/>
      <c r="G14" s="57"/>
      <c r="H14" s="57"/>
      <c r="I14" s="58"/>
      <c r="J14" s="59"/>
    </row>
    <row r="15" spans="2:10" ht="16.5" customHeight="1">
      <c r="B15" s="52" t="s">
        <v>202</v>
      </c>
      <c r="C15" s="56"/>
      <c r="D15" s="56"/>
      <c r="E15" s="56"/>
      <c r="F15" s="56"/>
      <c r="G15" s="56"/>
      <c r="H15" s="56"/>
      <c r="I15" s="56" t="e">
        <f>targetInt_2DS</f>
        <v>#VALUE!</v>
      </c>
      <c r="J15" s="59" t="s">
        <v>85</v>
      </c>
    </row>
    <row r="16" spans="2:10" ht="16.5" customHeight="1">
      <c r="B16" s="52" t="s">
        <v>203</v>
      </c>
      <c r="C16" s="56"/>
      <c r="D16" s="56"/>
      <c r="E16" s="56"/>
      <c r="F16" s="56"/>
      <c r="G16" s="56"/>
      <c r="H16" s="56"/>
      <c r="I16" s="56" t="e">
        <f>+I10</f>
        <v>#VALUE!</v>
      </c>
      <c r="J16" s="59" t="s">
        <v>85</v>
      </c>
    </row>
    <row r="17" spans="2:10" ht="16.5" customHeight="1">
      <c r="B17" s="53" t="s">
        <v>204</v>
      </c>
      <c r="C17" s="56"/>
      <c r="D17" s="56"/>
      <c r="E17" s="56"/>
      <c r="F17" s="56"/>
      <c r="G17" s="56"/>
      <c r="H17" s="56"/>
      <c r="I17" s="56" t="e">
        <f>+I8</f>
        <v>#VALUE!</v>
      </c>
      <c r="J17" s="59" t="s">
        <v>85</v>
      </c>
    </row>
    <row r="18" spans="2:10" ht="16.5" customHeight="1">
      <c r="C18" s="54"/>
      <c r="D18" s="54"/>
      <c r="E18" s="54"/>
      <c r="F18" s="54"/>
      <c r="G18" s="54"/>
      <c r="H18" s="54"/>
      <c r="I18" s="54"/>
      <c r="J18" s="54"/>
    </row>
    <row r="19" spans="2:10" ht="16.5" customHeight="1">
      <c r="B19" s="52"/>
      <c r="C19" s="56"/>
      <c r="D19" s="56"/>
      <c r="E19" s="56"/>
      <c r="F19" s="56"/>
      <c r="G19" s="56"/>
      <c r="H19" s="56"/>
      <c r="I19" s="56"/>
      <c r="J19" s="59"/>
    </row>
    <row r="20" spans="2:10" ht="16.5" customHeight="1">
      <c r="B20" s="52"/>
      <c r="C20" s="56"/>
      <c r="D20" s="56"/>
      <c r="E20" s="56"/>
      <c r="F20" s="56"/>
      <c r="G20" s="56"/>
      <c r="H20" s="56"/>
      <c r="I20" s="56"/>
      <c r="J20" s="59"/>
    </row>
    <row r="21" spans="2:10" ht="16.5" customHeight="1">
      <c r="B21" s="52"/>
      <c r="C21" s="56"/>
      <c r="D21" s="56"/>
      <c r="E21" s="56"/>
      <c r="F21" s="56"/>
      <c r="G21" s="56"/>
      <c r="H21" s="56"/>
      <c r="I21" s="56"/>
      <c r="J21" s="59"/>
    </row>
    <row r="22" spans="2:10" ht="16.5" customHeight="1">
      <c r="B22" s="52"/>
      <c r="C22" s="57"/>
      <c r="D22" s="57"/>
      <c r="E22" s="57"/>
      <c r="F22" s="57"/>
      <c r="G22" s="57"/>
      <c r="H22" s="57"/>
      <c r="I22" s="56"/>
      <c r="J22" s="59"/>
    </row>
    <row r="23" spans="2:10" ht="16.5" customHeight="1">
      <c r="B23" s="52"/>
      <c r="C23" s="57"/>
      <c r="D23" s="57"/>
      <c r="E23" s="57"/>
      <c r="F23" s="57"/>
      <c r="G23" s="57"/>
      <c r="H23" s="57"/>
      <c r="I23" s="58"/>
      <c r="J23" s="59"/>
    </row>
    <row r="24" spans="2:10" ht="16.5" customHeight="1">
      <c r="B24" s="52"/>
      <c r="C24" s="57"/>
      <c r="D24" s="57"/>
      <c r="E24" s="57"/>
      <c r="F24" s="57"/>
      <c r="G24" s="57"/>
      <c r="H24" s="57"/>
      <c r="I24" s="58"/>
      <c r="J24" s="59"/>
    </row>
    <row r="25" spans="2:10" ht="16.5" customHeight="1">
      <c r="B25" s="52"/>
      <c r="C25" s="56"/>
      <c r="D25" s="56"/>
      <c r="E25" s="56"/>
      <c r="F25" s="56"/>
      <c r="G25" s="56"/>
      <c r="H25" s="56"/>
      <c r="I25" s="56"/>
      <c r="J25" s="59"/>
    </row>
    <row r="26" spans="2:10" ht="16.5" customHeight="1">
      <c r="B26" s="52"/>
      <c r="C26" s="56"/>
      <c r="D26" s="56"/>
      <c r="E26" s="56"/>
      <c r="F26" s="56"/>
      <c r="G26" s="56"/>
      <c r="H26" s="56"/>
      <c r="I26" s="56"/>
    </row>
    <row r="27" spans="2:10" ht="16.5" customHeight="1">
      <c r="B27" s="53"/>
      <c r="C27" s="55"/>
      <c r="D27" s="55"/>
      <c r="E27" s="55"/>
      <c r="F27" s="55"/>
      <c r="G27" s="55"/>
      <c r="H27" s="55"/>
      <c r="I27" s="55"/>
      <c r="J27" s="59"/>
    </row>
    <row r="28" spans="2:10" ht="16.5" customHeight="1">
      <c r="C28" s="54"/>
      <c r="D28" s="54"/>
      <c r="E28" s="54"/>
      <c r="F28" s="54"/>
      <c r="G28" s="54"/>
      <c r="H28" s="54"/>
      <c r="I28" s="54"/>
      <c r="J28" s="54"/>
    </row>
    <row r="29" spans="2:10" ht="16.5" customHeight="1">
      <c r="B29" s="52"/>
      <c r="C29" s="56"/>
      <c r="D29" s="56"/>
      <c r="E29" s="56"/>
      <c r="F29" s="56"/>
      <c r="G29" s="56"/>
      <c r="H29" s="56"/>
      <c r="I29" s="56"/>
      <c r="J29" s="59"/>
    </row>
    <row r="30" spans="2:10" ht="16.5" customHeight="1">
      <c r="B30" s="52"/>
      <c r="C30" s="56"/>
      <c r="D30" s="56"/>
      <c r="E30" s="56"/>
      <c r="F30" s="56"/>
      <c r="G30" s="56"/>
      <c r="H30" s="56"/>
      <c r="I30" s="56"/>
      <c r="J30" s="59"/>
    </row>
    <row r="31" spans="2:10" ht="16.5" customHeight="1">
      <c r="B31" s="52"/>
      <c r="C31" s="56"/>
      <c r="D31" s="56"/>
      <c r="E31" s="56"/>
      <c r="F31" s="56"/>
      <c r="G31" s="56"/>
      <c r="H31" s="56"/>
      <c r="I31" s="56"/>
      <c r="J31" s="59"/>
    </row>
    <row r="32" spans="2:10" ht="16.5" customHeight="1">
      <c r="B32" s="52"/>
      <c r="C32" s="57"/>
      <c r="D32" s="57"/>
      <c r="E32" s="57"/>
      <c r="F32" s="57"/>
      <c r="G32" s="57"/>
      <c r="H32" s="57"/>
      <c r="I32" s="56"/>
      <c r="J32" s="59"/>
    </row>
    <row r="33" spans="2:10" ht="16.5" customHeight="1">
      <c r="B33" s="52"/>
      <c r="C33" s="57"/>
      <c r="D33" s="57"/>
      <c r="E33" s="57"/>
      <c r="F33" s="57"/>
      <c r="G33" s="57"/>
      <c r="H33" s="57"/>
      <c r="I33" s="58"/>
      <c r="J33" s="59"/>
    </row>
    <row r="34" spans="2:10" ht="16.5" customHeight="1">
      <c r="B34" s="52"/>
      <c r="C34" s="57"/>
      <c r="D34" s="57"/>
      <c r="E34" s="57"/>
      <c r="F34" s="57"/>
      <c r="G34" s="57"/>
      <c r="H34" s="57"/>
      <c r="I34" s="58"/>
      <c r="J34" s="59"/>
    </row>
    <row r="35" spans="2:10" ht="16.5" customHeight="1">
      <c r="B35" s="52"/>
      <c r="C35" s="56"/>
      <c r="D35" s="56"/>
      <c r="E35" s="56"/>
      <c r="F35" s="56"/>
      <c r="G35" s="56"/>
      <c r="H35" s="56"/>
      <c r="I35" s="56"/>
      <c r="J35" s="59"/>
    </row>
    <row r="36" spans="2:10" ht="16.5" customHeight="1">
      <c r="C36" s="55"/>
      <c r="D36" s="55"/>
      <c r="E36" s="55"/>
      <c r="F36" s="55"/>
      <c r="G36" s="55"/>
      <c r="H36" s="55"/>
      <c r="I36" s="5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18</vt:i4>
      </vt:variant>
    </vt:vector>
  </HeadingPairs>
  <TitlesOfParts>
    <vt:vector size="30" baseType="lpstr">
      <vt:lpstr>XX</vt:lpstr>
      <vt:lpstr>Raw data OLD</vt:lpstr>
      <vt:lpstr>Raw data B2DS</vt:lpstr>
      <vt:lpstr>Hoja1</vt:lpstr>
      <vt:lpstr>Raw data 2DS</vt:lpstr>
      <vt:lpstr>DataB2DS</vt:lpstr>
      <vt:lpstr>Catalogues</vt:lpstr>
      <vt:lpstr>Calculations</vt:lpstr>
      <vt:lpstr>Graphs</vt:lpstr>
      <vt:lpstr>Intro</vt:lpstr>
      <vt:lpstr>Method</vt:lpstr>
      <vt:lpstr>Tool</vt:lpstr>
      <vt:lpstr>ACTIVITY_2DS</vt:lpstr>
      <vt:lpstr>ACTIVITY_B2DS</vt:lpstr>
      <vt:lpstr>activity_by</vt:lpstr>
      <vt:lpstr>activity_ty</vt:lpstr>
      <vt:lpstr>by</vt:lpstr>
      <vt:lpstr>modes</vt:lpstr>
      <vt:lpstr>S1_Intensity_B2DS</vt:lpstr>
      <vt:lpstr>S1Emissions_B2DS</vt:lpstr>
      <vt:lpstr>S2_Intensity_B2DS</vt:lpstr>
      <vt:lpstr>S2Emissions_B2DS</vt:lpstr>
      <vt:lpstr>Target</vt:lpstr>
      <vt:lpstr>targetInt_2DS</vt:lpstr>
      <vt:lpstr>ty</vt:lpstr>
      <vt:lpstr>WTTEmissions_B2DS</vt:lpstr>
      <vt:lpstr>WTTIntensity_2DS</vt:lpstr>
      <vt:lpstr>WTTIntensity_B2DS</vt:lpstr>
      <vt:lpstr>WTWEmissions_B2DS</vt:lpstr>
      <vt:lpstr>WTWIntensity_B2DS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Rangel</dc:creator>
  <cp:lastModifiedBy>Fernando Rangel</cp:lastModifiedBy>
  <dcterms:created xsi:type="dcterms:W3CDTF">2017-12-11T02:50:35Z</dcterms:created>
  <dcterms:modified xsi:type="dcterms:W3CDTF">2019-03-06T18:40:26Z</dcterms:modified>
</cp:coreProperties>
</file>