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https://accesshubeur-my.sharepoint.com/personal/angelica_afanador_guidehouse_com/Documents/0. Projects/0.0. SBTi FIs/Tool/"/>
    </mc:Choice>
  </mc:AlternateContent>
  <xr:revisionPtr revIDLastSave="2" documentId="8_{CB953EE7-7C73-4EB0-A6DB-BB90957046F5}" xr6:coauthVersionLast="45" xr6:coauthVersionMax="45" xr10:uidLastSave="{5DDE0CF4-9F0D-4863-BE0D-B74B8337F09A}"/>
  <bookViews>
    <workbookView xWindow="-110" yWindow="-110" windowWidth="19420" windowHeight="10420" tabRatio="632" xr2:uid="{00000000-000D-0000-FFFF-FFFF00000000}"/>
  </bookViews>
  <sheets>
    <sheet name="README" sheetId="16" r:id="rId1"/>
    <sheet name="Quick guide" sheetId="17" r:id="rId2"/>
    <sheet name="SDA Tool" sheetId="19" r:id="rId3"/>
    <sheet name="Data" sheetId="22" r:id="rId4"/>
    <sheet name="Calc" sheetId="23" r:id="rId5"/>
    <sheet name="Admin" sheetId="20" r:id="rId6"/>
  </sheets>
  <definedNames>
    <definedName name="cst_convergence_yr">Admin!$K$12</definedName>
    <definedName name="cst_kg_tonne">Admin!$K$11</definedName>
    <definedName name="cst_SI_2050">Admin!$K$13</definedName>
    <definedName name="Input_asset_class">'SDA Tool'!$D$15</definedName>
    <definedName name="Input_asset_class_subsector">'SDA Tool'!$D$16</definedName>
    <definedName name="input_base_year">'SDA Tool'!$D$17</definedName>
    <definedName name="input_base_year_activities">'SDA Tool'!$D$20</definedName>
    <definedName name="input_emissions">'SDA Tool'!$D$22</definedName>
    <definedName name="input_projected_output_measure">'SDA Tool'!$D$19</definedName>
    <definedName name="input_target_year">'SDA Tool'!$D$18</definedName>
    <definedName name="input_target_year_output">'SDA Tool'!$D$21</definedName>
    <definedName name="List_asset_class_subsector">Admin!$B$15:INDEX(Admin!$B$15:$B$16,SUMPRODUCT(--(Admin!$B$15:$B$16&lt;&gt;"")))</definedName>
    <definedName name="List_base_year">Admin!$G$11:INDEX(Admin!$G$11:$G$44,SUMPRODUCT(--(Admin!$G$11:$G$44&lt;&gt;"")))</definedName>
    <definedName name="List_target_year">Admin!$H$11:INDEX(Admin!$H$11:$H$41,SUMPRODUCT(--(Admin!$H$11:$H$41&lt;&gt;"")))</definedName>
    <definedName name="Tbl_Calc">Calc!$H$29:$AP$35</definedName>
    <definedName name="Tbl_Calc_ColYear">Calc!$H$26:$AP$26</definedName>
    <definedName name="Tbl_IEA">Data!$S$13:$BA$30</definedName>
    <definedName name="Tbl_IEA_ColYear">Data!$S$12:$BA$12</definedName>
    <definedName name="Tbl_IEA_RowId">Data!$H$13:$H$30</definedName>
    <definedName name="Tbl_KeyValues">Calc!$G$12:$G$24</definedName>
    <definedName name="Tbl_KeyValues_RowId">Calc!$F$12:$F$24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2" i="19" l="1"/>
  <c r="F21" i="19" l="1"/>
  <c r="K25" i="22"/>
  <c r="L25" i="22"/>
  <c r="M25" i="22"/>
  <c r="N25" i="22"/>
  <c r="O25" i="22"/>
  <c r="P25" i="22"/>
  <c r="J25" i="22"/>
  <c r="K17" i="22"/>
  <c r="L17" i="22"/>
  <c r="M17" i="22"/>
  <c r="N17" i="22"/>
  <c r="O17" i="22"/>
  <c r="P17" i="22"/>
  <c r="G20" i="23"/>
  <c r="D30" i="23"/>
  <c r="F30" i="23" s="1"/>
  <c r="D31" i="23"/>
  <c r="F31" i="23" s="1"/>
  <c r="D32" i="23"/>
  <c r="F32" i="23" s="1"/>
  <c r="D33" i="23"/>
  <c r="F33" i="23" s="1"/>
  <c r="D34" i="23"/>
  <c r="F34" i="23" s="1"/>
  <c r="D35" i="23"/>
  <c r="F35" i="23" s="1"/>
  <c r="D29" i="23"/>
  <c r="F29" i="23" s="1"/>
  <c r="D13" i="23"/>
  <c r="D14" i="23"/>
  <c r="D15" i="23"/>
  <c r="D16" i="23"/>
  <c r="D17" i="23"/>
  <c r="D18" i="23"/>
  <c r="D19" i="23"/>
  <c r="D20" i="23"/>
  <c r="D21" i="23"/>
  <c r="D22" i="23"/>
  <c r="D23" i="23"/>
  <c r="D12" i="23"/>
  <c r="B28" i="19"/>
  <c r="B16" i="20"/>
  <c r="L22" i="19" l="1"/>
  <c r="G11" i="20"/>
  <c r="E11" i="20"/>
  <c r="H11" i="20" s="1"/>
  <c r="F74" i="19"/>
  <c r="D74" i="19"/>
  <c r="B73" i="19"/>
  <c r="E12" i="20" l="1"/>
  <c r="E13" i="20" s="1"/>
  <c r="E14" i="20" s="1"/>
  <c r="E15" i="20" s="1"/>
  <c r="E16" i="20" s="1"/>
  <c r="E17" i="20" s="1"/>
  <c r="E18" i="20" s="1"/>
  <c r="E19" i="20" s="1"/>
  <c r="E20" i="20" s="1"/>
  <c r="E21" i="20" s="1"/>
  <c r="E22" i="20" s="1"/>
  <c r="E23" i="20" s="1"/>
  <c r="E24" i="20" s="1"/>
  <c r="E25" i="20" s="1"/>
  <c r="E26" i="20" s="1"/>
  <c r="E27" i="20" s="1"/>
  <c r="E28" i="20" s="1"/>
  <c r="E29" i="20" s="1"/>
  <c r="E30" i="20" s="1"/>
  <c r="E31" i="20" s="1"/>
  <c r="E32" i="20" s="1"/>
  <c r="E33" i="20" s="1"/>
  <c r="E34" i="20" s="1"/>
  <c r="E35" i="20" s="1"/>
  <c r="E36" i="20" s="1"/>
  <c r="E37" i="20" s="1"/>
  <c r="E38" i="20" s="1"/>
  <c r="E39" i="20" s="1"/>
  <c r="E40" i="20" s="1"/>
  <c r="E41" i="20" s="1"/>
  <c r="H41" i="20" s="1"/>
  <c r="H26" i="23" l="1"/>
  <c r="E19" i="23"/>
  <c r="E15" i="23"/>
  <c r="I26" i="23" l="1"/>
  <c r="J26" i="23" s="1"/>
  <c r="K26" i="23" s="1"/>
  <c r="L26" i="23" s="1"/>
  <c r="M26" i="23" s="1"/>
  <c r="N26" i="23" s="1"/>
  <c r="O26" i="23" s="1"/>
  <c r="P26" i="23" s="1"/>
  <c r="Q26" i="23" s="1"/>
  <c r="R26" i="23" s="1"/>
  <c r="S26" i="23" s="1"/>
  <c r="T26" i="23" s="1"/>
  <c r="U26" i="23" s="1"/>
  <c r="V26" i="23" s="1"/>
  <c r="W26" i="23" s="1"/>
  <c r="X26" i="23" s="1"/>
  <c r="Y26" i="23" s="1"/>
  <c r="Z26" i="23" s="1"/>
  <c r="AA26" i="23" s="1"/>
  <c r="AB26" i="23" s="1"/>
  <c r="AC26" i="23" s="1"/>
  <c r="AD26" i="23" s="1"/>
  <c r="AE26" i="23" s="1"/>
  <c r="AF26" i="23" s="1"/>
  <c r="AG26" i="23" s="1"/>
  <c r="AH26" i="23" s="1"/>
  <c r="AI26" i="23" s="1"/>
  <c r="AJ26" i="23" s="1"/>
  <c r="AK26" i="23" s="1"/>
  <c r="AL26" i="23" s="1"/>
  <c r="AM26" i="23" s="1"/>
  <c r="AN26" i="23" s="1"/>
  <c r="AO26" i="23" s="1"/>
  <c r="AP26" i="23" s="1"/>
  <c r="AP28" i="23" s="1"/>
  <c r="H28" i="23"/>
  <c r="H32" i="23" s="1"/>
  <c r="F15" i="23"/>
  <c r="F19" i="23"/>
  <c r="H14" i="22"/>
  <c r="S15" i="22"/>
  <c r="S23" i="22"/>
  <c r="E23" i="23"/>
  <c r="F23" i="23" s="1"/>
  <c r="E22" i="23"/>
  <c r="F22" i="23" s="1"/>
  <c r="E21" i="23"/>
  <c r="F21" i="23" s="1"/>
  <c r="E20" i="23"/>
  <c r="F20" i="23" s="1"/>
  <c r="K29" i="22"/>
  <c r="L29" i="22"/>
  <c r="M29" i="22"/>
  <c r="N29" i="22"/>
  <c r="O29" i="22"/>
  <c r="P29" i="22"/>
  <c r="J28" i="22"/>
  <c r="I30" i="22"/>
  <c r="H30" i="22"/>
  <c r="I29" i="22"/>
  <c r="H29" i="22"/>
  <c r="H28" i="22"/>
  <c r="I27" i="22"/>
  <c r="H27" i="22"/>
  <c r="I26" i="22"/>
  <c r="H26" i="22"/>
  <c r="I25" i="22"/>
  <c r="H25" i="22"/>
  <c r="J24" i="22"/>
  <c r="S24" i="22" s="1"/>
  <c r="H24" i="22"/>
  <c r="I23" i="22"/>
  <c r="H23" i="22"/>
  <c r="E18" i="23"/>
  <c r="E17" i="23"/>
  <c r="E16" i="23"/>
  <c r="E14" i="23"/>
  <c r="E13" i="23"/>
  <c r="G12" i="23"/>
  <c r="D76" i="19" s="1"/>
  <c r="E12" i="23"/>
  <c r="H5" i="23"/>
  <c r="P30" i="22" l="1"/>
  <c r="P26" i="22"/>
  <c r="O27" i="22"/>
  <c r="O26" i="22"/>
  <c r="N30" i="22"/>
  <c r="N26" i="22"/>
  <c r="M27" i="22"/>
  <c r="M26" i="22"/>
  <c r="L30" i="22"/>
  <c r="L26" i="22"/>
  <c r="K27" i="22"/>
  <c r="K26" i="22"/>
  <c r="H29" i="23"/>
  <c r="H30" i="23"/>
  <c r="P27" i="22"/>
  <c r="L27" i="22"/>
  <c r="AA28" i="23"/>
  <c r="AA35" i="23" s="1"/>
  <c r="T28" i="23"/>
  <c r="T33" i="23" s="1"/>
  <c r="AN28" i="23"/>
  <c r="AN33" i="23" s="1"/>
  <c r="K28" i="23"/>
  <c r="K33" i="23" s="1"/>
  <c r="Y28" i="23"/>
  <c r="Y35" i="23" s="1"/>
  <c r="O28" i="23"/>
  <c r="AI28" i="23"/>
  <c r="AI33" i="23" s="1"/>
  <c r="X28" i="23"/>
  <c r="I28" i="23"/>
  <c r="I32" i="23" s="1"/>
  <c r="AG28" i="23"/>
  <c r="S28" i="23"/>
  <c r="S35" i="23" s="1"/>
  <c r="AM28" i="23"/>
  <c r="AM35" i="23" s="1"/>
  <c r="AB28" i="23"/>
  <c r="Q28" i="23"/>
  <c r="N28" i="23"/>
  <c r="W28" i="23"/>
  <c r="L28" i="23"/>
  <c r="AJ28" i="23"/>
  <c r="U28" i="23"/>
  <c r="U35" i="23" s="1"/>
  <c r="R28" i="23"/>
  <c r="AK28" i="23"/>
  <c r="AK33" i="23" s="1"/>
  <c r="V28" i="23"/>
  <c r="AO28" i="23"/>
  <c r="AD28" i="23"/>
  <c r="AL28" i="23"/>
  <c r="AH28" i="23"/>
  <c r="AH33" i="23" s="1"/>
  <c r="AE28" i="23"/>
  <c r="AE33" i="23" s="1"/>
  <c r="P28" i="23"/>
  <c r="P35" i="23" s="1"/>
  <c r="AF28" i="23"/>
  <c r="M28" i="23"/>
  <c r="M35" i="23" s="1"/>
  <c r="AC28" i="23"/>
  <c r="J28" i="23"/>
  <c r="Z28" i="23"/>
  <c r="Z35" i="23" s="1"/>
  <c r="H35" i="23"/>
  <c r="H33" i="23"/>
  <c r="F16" i="23"/>
  <c r="F13" i="23"/>
  <c r="F18" i="23"/>
  <c r="K30" i="22"/>
  <c r="O30" i="22"/>
  <c r="S28" i="22"/>
  <c r="N27" i="22"/>
  <c r="M30" i="22"/>
  <c r="F17" i="23"/>
  <c r="F12" i="23"/>
  <c r="F14" i="23"/>
  <c r="Y33" i="23" l="1"/>
  <c r="AN35" i="23"/>
  <c r="J35" i="23"/>
  <c r="AI35" i="23"/>
  <c r="I33" i="23"/>
  <c r="T35" i="23"/>
  <c r="AA33" i="23"/>
  <c r="I35" i="23"/>
  <c r="AH35" i="23"/>
  <c r="K35" i="23"/>
  <c r="U33" i="23"/>
  <c r="AE35" i="23"/>
  <c r="S33" i="23"/>
  <c r="AM33" i="23"/>
  <c r="AK35" i="23"/>
  <c r="J33" i="23"/>
  <c r="P33" i="23"/>
  <c r="M33" i="23"/>
  <c r="Z33" i="23"/>
  <c r="D78" i="19"/>
  <c r="K21" i="22" l="1"/>
  <c r="K18" i="22" s="1"/>
  <c r="L21" i="22"/>
  <c r="L18" i="22" s="1"/>
  <c r="M21" i="22"/>
  <c r="M18" i="22" s="1"/>
  <c r="N21" i="22"/>
  <c r="N18" i="22" s="1"/>
  <c r="O21" i="22"/>
  <c r="O18" i="22" s="1"/>
  <c r="P21" i="22"/>
  <c r="P18" i="22" s="1"/>
  <c r="J20" i="22"/>
  <c r="J17" i="22" s="1"/>
  <c r="I22" i="22"/>
  <c r="H22" i="22"/>
  <c r="I21" i="22"/>
  <c r="H21" i="22"/>
  <c r="H20" i="22"/>
  <c r="I19" i="22"/>
  <c r="H19" i="22"/>
  <c r="I18" i="22"/>
  <c r="H18" i="22"/>
  <c r="I17" i="22"/>
  <c r="H17" i="22"/>
  <c r="H13" i="22"/>
  <c r="H16" i="22"/>
  <c r="J16" i="22"/>
  <c r="S16" i="22" s="1"/>
  <c r="I15" i="22"/>
  <c r="H15" i="22"/>
  <c r="J14" i="22"/>
  <c r="J13" i="22"/>
  <c r="S13" i="22" s="1"/>
  <c r="T12" i="22"/>
  <c r="J5" i="22"/>
  <c r="K22" i="22" l="1"/>
  <c r="K19" i="22"/>
  <c r="S14" i="22"/>
  <c r="J29" i="22"/>
  <c r="S20" i="22"/>
  <c r="N19" i="22"/>
  <c r="N22" i="22"/>
  <c r="J21" i="22"/>
  <c r="T21" i="22" s="1"/>
  <c r="M19" i="22"/>
  <c r="M22" i="22"/>
  <c r="O22" i="22"/>
  <c r="O19" i="22"/>
  <c r="U12" i="22"/>
  <c r="T14" i="22"/>
  <c r="T16" i="22"/>
  <c r="T20" i="22"/>
  <c r="T13" i="22"/>
  <c r="T15" i="22"/>
  <c r="T23" i="22"/>
  <c r="I29" i="23" s="1"/>
  <c r="T24" i="22"/>
  <c r="T28" i="22"/>
  <c r="T25" i="22"/>
  <c r="T17" i="22"/>
  <c r="P19" i="22"/>
  <c r="P22" i="22"/>
  <c r="L19" i="22"/>
  <c r="L22" i="22"/>
  <c r="H12" i="20"/>
  <c r="D12" i="20"/>
  <c r="K5" i="20"/>
  <c r="S21" i="22" l="1"/>
  <c r="J18" i="22"/>
  <c r="U18" i="22" s="1"/>
  <c r="J26" i="22"/>
  <c r="U26" i="22" s="1"/>
  <c r="T29" i="22"/>
  <c r="D13" i="20"/>
  <c r="G12" i="20"/>
  <c r="S29" i="22"/>
  <c r="J30" i="22"/>
  <c r="T30" i="22" s="1"/>
  <c r="J27" i="22"/>
  <c r="T27" i="22" s="1"/>
  <c r="V12" i="22"/>
  <c r="U14" i="22"/>
  <c r="U16" i="22"/>
  <c r="U23" i="22"/>
  <c r="U20" i="22"/>
  <c r="U24" i="22"/>
  <c r="U28" i="22"/>
  <c r="U29" i="22"/>
  <c r="U25" i="22"/>
  <c r="U13" i="22"/>
  <c r="U21" i="22"/>
  <c r="U15" i="22"/>
  <c r="U27" i="22"/>
  <c r="U17" i="22"/>
  <c r="J19" i="22"/>
  <c r="T19" i="22" s="1"/>
  <c r="J22" i="22"/>
  <c r="T22" i="22" s="1"/>
  <c r="H5" i="19"/>
  <c r="I5" i="17"/>
  <c r="I30" i="23" l="1"/>
  <c r="U30" i="22"/>
  <c r="T26" i="22"/>
  <c r="S18" i="22"/>
  <c r="T18" i="22"/>
  <c r="J29" i="23"/>
  <c r="D14" i="20"/>
  <c r="G13" i="20"/>
  <c r="H13" i="20"/>
  <c r="U19" i="22"/>
  <c r="J30" i="23" s="1"/>
  <c r="W12" i="22"/>
  <c r="V13" i="22"/>
  <c r="V15" i="22"/>
  <c r="V19" i="22"/>
  <c r="V21" i="22"/>
  <c r="V14" i="22"/>
  <c r="V16" i="22"/>
  <c r="V18" i="22"/>
  <c r="V20" i="22"/>
  <c r="V22" i="22"/>
  <c r="V25" i="22"/>
  <c r="V27" i="22"/>
  <c r="K30" i="23" s="1"/>
  <c r="V23" i="22"/>
  <c r="V24" i="22"/>
  <c r="V28" i="22"/>
  <c r="V29" i="22"/>
  <c r="V26" i="22"/>
  <c r="V30" i="22"/>
  <c r="V17" i="22"/>
  <c r="U22" i="22"/>
  <c r="K29" i="23" l="1"/>
  <c r="D15" i="20"/>
  <c r="G14" i="20"/>
  <c r="H14" i="20"/>
  <c r="X12" i="22"/>
  <c r="W13" i="22"/>
  <c r="W15" i="22"/>
  <c r="W16" i="22"/>
  <c r="W22" i="22"/>
  <c r="W19" i="22"/>
  <c r="W25" i="22"/>
  <c r="W27" i="22"/>
  <c r="L30" i="23" s="1"/>
  <c r="W29" i="22"/>
  <c r="W23" i="22"/>
  <c r="W30" i="22"/>
  <c r="W24" i="22"/>
  <c r="W28" i="22"/>
  <c r="W20" i="22"/>
  <c r="W14" i="22"/>
  <c r="W18" i="22"/>
  <c r="W21" i="22"/>
  <c r="W26" i="22"/>
  <c r="W17" i="22"/>
  <c r="G22" i="23" l="1"/>
  <c r="L29" i="23"/>
  <c r="D16" i="20"/>
  <c r="G15" i="20"/>
  <c r="H15" i="20"/>
  <c r="Y12" i="22"/>
  <c r="X14" i="22"/>
  <c r="X16" i="22"/>
  <c r="X18" i="22"/>
  <c r="X20" i="22"/>
  <c r="X22" i="22"/>
  <c r="X13" i="22"/>
  <c r="X15" i="22"/>
  <c r="X19" i="22"/>
  <c r="X21" i="22"/>
  <c r="X23" i="22"/>
  <c r="X24" i="22"/>
  <c r="X26" i="22"/>
  <c r="X28" i="22"/>
  <c r="X27" i="22"/>
  <c r="M30" i="23" s="1"/>
  <c r="X30" i="22"/>
  <c r="X25" i="22"/>
  <c r="X29" i="22"/>
  <c r="X17" i="22"/>
  <c r="M29" i="23" l="1"/>
  <c r="D17" i="20"/>
  <c r="G16" i="20"/>
  <c r="H16" i="20"/>
  <c r="Z12" i="22"/>
  <c r="Y14" i="22"/>
  <c r="Y16" i="22"/>
  <c r="Y18" i="22"/>
  <c r="Y15" i="22"/>
  <c r="Y21" i="22"/>
  <c r="Y22" i="22"/>
  <c r="Y24" i="22"/>
  <c r="Y26" i="22"/>
  <c r="Y28" i="22"/>
  <c r="Y30" i="22"/>
  <c r="Y13" i="22"/>
  <c r="Y23" i="22"/>
  <c r="N29" i="23" s="1"/>
  <c r="Y27" i="22"/>
  <c r="Y19" i="22"/>
  <c r="Y20" i="22"/>
  <c r="Y29" i="22"/>
  <c r="Y25" i="22"/>
  <c r="Y17" i="22"/>
  <c r="N30" i="23" l="1"/>
  <c r="D18" i="20"/>
  <c r="G17" i="20"/>
  <c r="H17" i="20"/>
  <c r="AA12" i="22"/>
  <c r="Z13" i="22"/>
  <c r="Z15" i="22"/>
  <c r="Z19" i="22"/>
  <c r="Z21" i="22"/>
  <c r="Z14" i="22"/>
  <c r="Z16" i="22"/>
  <c r="Z18" i="22"/>
  <c r="Z20" i="22"/>
  <c r="Z22" i="22"/>
  <c r="Z23" i="22"/>
  <c r="O29" i="23" s="1"/>
  <c r="Z25" i="22"/>
  <c r="Z27" i="22"/>
  <c r="Z26" i="22"/>
  <c r="Z29" i="22"/>
  <c r="Z24" i="22"/>
  <c r="Z28" i="22"/>
  <c r="Z30" i="22"/>
  <c r="Z17" i="22"/>
  <c r="O30" i="23" l="1"/>
  <c r="D19" i="20"/>
  <c r="G18" i="20"/>
  <c r="H18" i="20"/>
  <c r="AB12" i="22"/>
  <c r="AA13" i="22"/>
  <c r="AA15" i="22"/>
  <c r="AA14" i="22"/>
  <c r="AA18" i="22"/>
  <c r="AA20" i="22"/>
  <c r="AA16" i="22"/>
  <c r="AA21" i="22"/>
  <c r="AA23" i="22"/>
  <c r="AA25" i="22"/>
  <c r="AA27" i="22"/>
  <c r="AA29" i="22"/>
  <c r="AA22" i="22"/>
  <c r="AA30" i="22"/>
  <c r="AA26" i="22"/>
  <c r="AA19" i="22"/>
  <c r="AA24" i="22"/>
  <c r="AA28" i="22"/>
  <c r="AA17" i="22"/>
  <c r="P29" i="23" l="1"/>
  <c r="P30" i="23"/>
  <c r="D20" i="20"/>
  <c r="G19" i="20"/>
  <c r="H19" i="20"/>
  <c r="AC12" i="22"/>
  <c r="AB14" i="22"/>
  <c r="AB16" i="22"/>
  <c r="AB18" i="22"/>
  <c r="AB20" i="22"/>
  <c r="AB22" i="22"/>
  <c r="AB13" i="22"/>
  <c r="AB15" i="22"/>
  <c r="AB17" i="22"/>
  <c r="AB19" i="22"/>
  <c r="AB21" i="22"/>
  <c r="AB24" i="22"/>
  <c r="AB26" i="22"/>
  <c r="AB25" i="22"/>
  <c r="AB28" i="22"/>
  <c r="AB29" i="22"/>
  <c r="AB30" i="22"/>
  <c r="AB23" i="22"/>
  <c r="AB27" i="22"/>
  <c r="Q30" i="23" s="1"/>
  <c r="S25" i="22"/>
  <c r="Q29" i="23" l="1"/>
  <c r="D21" i="20"/>
  <c r="G20" i="20"/>
  <c r="H20" i="20"/>
  <c r="AD12" i="22"/>
  <c r="AC14" i="22"/>
  <c r="AC16" i="22"/>
  <c r="AC18" i="22"/>
  <c r="AC13" i="22"/>
  <c r="AC17" i="22"/>
  <c r="AC19" i="22"/>
  <c r="AC15" i="22"/>
  <c r="AC20" i="22"/>
  <c r="AC24" i="22"/>
  <c r="AC26" i="22"/>
  <c r="AC28" i="22"/>
  <c r="AC21" i="22"/>
  <c r="AC29" i="22"/>
  <c r="AC22" i="22"/>
  <c r="AC25" i="22"/>
  <c r="AC30" i="22"/>
  <c r="AC23" i="22"/>
  <c r="AC27" i="22"/>
  <c r="R30" i="23" s="1"/>
  <c r="R29" i="23" l="1"/>
  <c r="D22" i="20"/>
  <c r="G21" i="20"/>
  <c r="H21" i="20"/>
  <c r="AE12" i="22"/>
  <c r="AD13" i="22"/>
  <c r="AD15" i="22"/>
  <c r="AD17" i="22"/>
  <c r="AD19" i="22"/>
  <c r="AD21" i="22"/>
  <c r="AD14" i="22"/>
  <c r="AD16" i="22"/>
  <c r="AD18" i="22"/>
  <c r="AD20" i="22"/>
  <c r="AD22" i="22"/>
  <c r="AD23" i="22"/>
  <c r="AD25" i="22"/>
  <c r="AD27" i="22"/>
  <c r="AD24" i="22"/>
  <c r="AD28" i="22"/>
  <c r="AD26" i="22"/>
  <c r="AD29" i="22"/>
  <c r="AD30" i="22"/>
  <c r="S29" i="23" l="1"/>
  <c r="S30" i="23"/>
  <c r="D23" i="20"/>
  <c r="G22" i="20"/>
  <c r="H22" i="20"/>
  <c r="AF12" i="22"/>
  <c r="AE13" i="22"/>
  <c r="AE15" i="22"/>
  <c r="AE17" i="22"/>
  <c r="AE22" i="22"/>
  <c r="AE14" i="22"/>
  <c r="AE18" i="22"/>
  <c r="AE19" i="22"/>
  <c r="AE23" i="22"/>
  <c r="AE25" i="22"/>
  <c r="AE27" i="22"/>
  <c r="AE29" i="22"/>
  <c r="AE16" i="22"/>
  <c r="AE20" i="22"/>
  <c r="AE30" i="22"/>
  <c r="AE28" i="22"/>
  <c r="AE21" i="22"/>
  <c r="AE24" i="22"/>
  <c r="AE26" i="22"/>
  <c r="T29" i="23" l="1"/>
  <c r="T30" i="23"/>
  <c r="D24" i="20"/>
  <c r="G23" i="20"/>
  <c r="H23" i="20"/>
  <c r="AG12" i="22"/>
  <c r="AF14" i="22"/>
  <c r="AF16" i="22"/>
  <c r="AF18" i="22"/>
  <c r="AF20" i="22"/>
  <c r="AF22" i="22"/>
  <c r="AF13" i="22"/>
  <c r="AF15" i="22"/>
  <c r="AF17" i="22"/>
  <c r="AF19" i="22"/>
  <c r="AF21" i="22"/>
  <c r="AF24" i="22"/>
  <c r="AF26" i="22"/>
  <c r="AF23" i="22"/>
  <c r="AF27" i="22"/>
  <c r="AF29" i="22"/>
  <c r="AF30" i="22"/>
  <c r="AF25" i="22"/>
  <c r="AF28" i="22"/>
  <c r="U30" i="23" l="1"/>
  <c r="U29" i="23"/>
  <c r="D25" i="20"/>
  <c r="G24" i="20"/>
  <c r="H24" i="20"/>
  <c r="AH12" i="22"/>
  <c r="AG14" i="22"/>
  <c r="AG16" i="22"/>
  <c r="AG18" i="22"/>
  <c r="AG21" i="22"/>
  <c r="AG13" i="22"/>
  <c r="AG17" i="22"/>
  <c r="AG22" i="22"/>
  <c r="AG24" i="22"/>
  <c r="AG26" i="22"/>
  <c r="AG28" i="22"/>
  <c r="AG15" i="22"/>
  <c r="AG19" i="22"/>
  <c r="AG30" i="22"/>
  <c r="AG20" i="22"/>
  <c r="AG23" i="22"/>
  <c r="V29" i="23" s="1"/>
  <c r="AG27" i="22"/>
  <c r="V30" i="23" s="1"/>
  <c r="AG29" i="22"/>
  <c r="AG25" i="22"/>
  <c r="D26" i="20" l="1"/>
  <c r="G25" i="20"/>
  <c r="H25" i="20"/>
  <c r="AI12" i="22"/>
  <c r="AH13" i="22"/>
  <c r="AH15" i="22"/>
  <c r="AH17" i="22"/>
  <c r="AH19" i="22"/>
  <c r="AH21" i="22"/>
  <c r="AH14" i="22"/>
  <c r="AH16" i="22"/>
  <c r="AH18" i="22"/>
  <c r="AH20" i="22"/>
  <c r="AH22" i="22"/>
  <c r="AH23" i="22"/>
  <c r="AH25" i="22"/>
  <c r="AH27" i="22"/>
  <c r="AH26" i="22"/>
  <c r="AH28" i="22"/>
  <c r="AH24" i="22"/>
  <c r="AH29" i="22"/>
  <c r="AH30" i="22"/>
  <c r="W29" i="23" l="1"/>
  <c r="W30" i="23"/>
  <c r="D27" i="20"/>
  <c r="G26" i="20"/>
  <c r="H26" i="20"/>
  <c r="AJ12" i="22"/>
  <c r="AI13" i="22"/>
  <c r="AI15" i="22"/>
  <c r="AI17" i="22"/>
  <c r="AI20" i="22"/>
  <c r="AI21" i="22"/>
  <c r="AI23" i="22"/>
  <c r="X29" i="23" s="1"/>
  <c r="AI25" i="22"/>
  <c r="AI27" i="22"/>
  <c r="AI29" i="22"/>
  <c r="AI14" i="22"/>
  <c r="AI18" i="22"/>
  <c r="AI30" i="22"/>
  <c r="AI16" i="22"/>
  <c r="AI19" i="22"/>
  <c r="AI26" i="22"/>
  <c r="AI28" i="22"/>
  <c r="AI22" i="22"/>
  <c r="AI24" i="22"/>
  <c r="X30" i="23" l="1"/>
  <c r="D28" i="20"/>
  <c r="G27" i="20"/>
  <c r="H27" i="20"/>
  <c r="AK12" i="22"/>
  <c r="AJ14" i="22"/>
  <c r="AJ16" i="22"/>
  <c r="AJ18" i="22"/>
  <c r="AJ20" i="22"/>
  <c r="AJ22" i="22"/>
  <c r="AJ13" i="22"/>
  <c r="AJ15" i="22"/>
  <c r="AJ17" i="22"/>
  <c r="AJ19" i="22"/>
  <c r="AJ21" i="22"/>
  <c r="AJ24" i="22"/>
  <c r="AJ26" i="22"/>
  <c r="AJ25" i="22"/>
  <c r="AJ30" i="22"/>
  <c r="AJ23" i="22"/>
  <c r="Y29" i="23" s="1"/>
  <c r="AJ27" i="22"/>
  <c r="Y30" i="23" s="1"/>
  <c r="AJ28" i="22"/>
  <c r="AJ29" i="22"/>
  <c r="D29" i="20" l="1"/>
  <c r="G28" i="20"/>
  <c r="H28" i="20"/>
  <c r="AL12" i="22"/>
  <c r="AK14" i="22"/>
  <c r="AK16" i="22"/>
  <c r="AK19" i="22"/>
  <c r="AK20" i="22"/>
  <c r="AK24" i="22"/>
  <c r="AK26" i="22"/>
  <c r="AK28" i="22"/>
  <c r="AK13" i="22"/>
  <c r="AK17" i="22"/>
  <c r="AK29" i="22"/>
  <c r="AK15" i="22"/>
  <c r="AK18" i="22"/>
  <c r="AK25" i="22"/>
  <c r="AK21" i="22"/>
  <c r="AK30" i="22"/>
  <c r="AK23" i="22"/>
  <c r="AK22" i="22"/>
  <c r="AK27" i="22"/>
  <c r="Z29" i="23" l="1"/>
  <c r="Z30" i="23"/>
  <c r="D30" i="20"/>
  <c r="G29" i="20"/>
  <c r="H29" i="20"/>
  <c r="AM12" i="22"/>
  <c r="AL13" i="22"/>
  <c r="AL15" i="22"/>
  <c r="AL17" i="22"/>
  <c r="AL19" i="22"/>
  <c r="AL21" i="22"/>
  <c r="AL14" i="22"/>
  <c r="AL16" i="22"/>
  <c r="AL18" i="22"/>
  <c r="AL20" i="22"/>
  <c r="AL22" i="22"/>
  <c r="AL23" i="22"/>
  <c r="AL25" i="22"/>
  <c r="AL27" i="22"/>
  <c r="AL24" i="22"/>
  <c r="AL29" i="22"/>
  <c r="AL26" i="22"/>
  <c r="AL28" i="22"/>
  <c r="AL30" i="22"/>
  <c r="AA29" i="23" l="1"/>
  <c r="AA30" i="23"/>
  <c r="D31" i="20"/>
  <c r="G30" i="20"/>
  <c r="H30" i="20"/>
  <c r="AN12" i="22"/>
  <c r="AM13" i="22"/>
  <c r="AM15" i="22"/>
  <c r="AM17" i="22"/>
  <c r="AM16" i="22"/>
  <c r="AM18" i="22"/>
  <c r="AM22" i="22"/>
  <c r="AM19" i="22"/>
  <c r="AM23" i="22"/>
  <c r="AM25" i="22"/>
  <c r="AM27" i="22"/>
  <c r="AM28" i="22"/>
  <c r="AM30" i="22"/>
  <c r="AM29" i="22"/>
  <c r="AM14" i="22"/>
  <c r="AM24" i="22"/>
  <c r="AM20" i="22"/>
  <c r="AM21" i="22"/>
  <c r="AM26" i="22"/>
  <c r="AB29" i="23" l="1"/>
  <c r="AB30" i="23"/>
  <c r="D32" i="20"/>
  <c r="G31" i="20"/>
  <c r="H31" i="20"/>
  <c r="AO12" i="22"/>
  <c r="AN14" i="22"/>
  <c r="AN16" i="22"/>
  <c r="AN18" i="22"/>
  <c r="AN20" i="22"/>
  <c r="AN22" i="22"/>
  <c r="AN13" i="22"/>
  <c r="AN15" i="22"/>
  <c r="AN17" i="22"/>
  <c r="AN19" i="22"/>
  <c r="AN21" i="22"/>
  <c r="AN24" i="22"/>
  <c r="AN26" i="22"/>
  <c r="AN23" i="22"/>
  <c r="AC29" i="23" s="1"/>
  <c r="AN27" i="22"/>
  <c r="AC30" i="23" s="1"/>
  <c r="AN28" i="22"/>
  <c r="AN30" i="22"/>
  <c r="AN25" i="22"/>
  <c r="AN29" i="22"/>
  <c r="D33" i="20" l="1"/>
  <c r="G32" i="20"/>
  <c r="H32" i="20"/>
  <c r="AP12" i="22"/>
  <c r="AO14" i="22"/>
  <c r="AO16" i="22"/>
  <c r="AO15" i="22"/>
  <c r="AO21" i="22"/>
  <c r="AO18" i="22"/>
  <c r="AO22" i="22"/>
  <c r="AO24" i="22"/>
  <c r="AO26" i="22"/>
  <c r="AO28" i="22"/>
  <c r="AO29" i="22"/>
  <c r="AO30" i="22"/>
  <c r="AO13" i="22"/>
  <c r="AO17" i="22"/>
  <c r="AO23" i="22"/>
  <c r="AO27" i="22"/>
  <c r="AO19" i="22"/>
  <c r="AO20" i="22"/>
  <c r="AO25" i="22"/>
  <c r="AD30" i="23" l="1"/>
  <c r="AD29" i="23"/>
  <c r="D34" i="20"/>
  <c r="G33" i="20"/>
  <c r="H33" i="20"/>
  <c r="AQ12" i="22"/>
  <c r="AP13" i="22"/>
  <c r="AP15" i="22"/>
  <c r="AP17" i="22"/>
  <c r="AP19" i="22"/>
  <c r="AP21" i="22"/>
  <c r="AP14" i="22"/>
  <c r="AP16" i="22"/>
  <c r="AP18" i="22"/>
  <c r="AP20" i="22"/>
  <c r="AP22" i="22"/>
  <c r="AP23" i="22"/>
  <c r="AP25" i="22"/>
  <c r="AP27" i="22"/>
  <c r="AP26" i="22"/>
  <c r="AP24" i="22"/>
  <c r="AP29" i="22"/>
  <c r="AP28" i="22"/>
  <c r="AP30" i="22"/>
  <c r="AE30" i="23" l="1"/>
  <c r="AE29" i="23"/>
  <c r="D35" i="20"/>
  <c r="G34" i="20"/>
  <c r="H34" i="20"/>
  <c r="AR12" i="22"/>
  <c r="AQ13" i="22"/>
  <c r="AQ15" i="22"/>
  <c r="AQ17" i="22"/>
  <c r="AQ14" i="22"/>
  <c r="AQ20" i="22"/>
  <c r="AQ16" i="22"/>
  <c r="AQ21" i="22"/>
  <c r="AQ23" i="22"/>
  <c r="AQ25" i="22"/>
  <c r="AQ27" i="22"/>
  <c r="AQ22" i="22"/>
  <c r="AQ30" i="22"/>
  <c r="AQ26" i="22"/>
  <c r="AQ18" i="22"/>
  <c r="AQ29" i="22"/>
  <c r="AQ28" i="22"/>
  <c r="AQ19" i="22"/>
  <c r="AQ24" i="22"/>
  <c r="AF29" i="23" l="1"/>
  <c r="AF30" i="23"/>
  <c r="D36" i="20"/>
  <c r="G35" i="20"/>
  <c r="H35" i="20"/>
  <c r="AS12" i="22"/>
  <c r="AR14" i="22"/>
  <c r="AR16" i="22"/>
  <c r="AR18" i="22"/>
  <c r="AR20" i="22"/>
  <c r="AR22" i="22"/>
  <c r="AR13" i="22"/>
  <c r="AR15" i="22"/>
  <c r="AR17" i="22"/>
  <c r="AR19" i="22"/>
  <c r="AR21" i="22"/>
  <c r="AR24" i="22"/>
  <c r="AR26" i="22"/>
  <c r="AR25" i="22"/>
  <c r="AR28" i="22"/>
  <c r="AR30" i="22"/>
  <c r="AR23" i="22"/>
  <c r="AR27" i="22"/>
  <c r="AG30" i="23" s="1"/>
  <c r="AR29" i="22"/>
  <c r="AG29" i="23" l="1"/>
  <c r="D37" i="20"/>
  <c r="G36" i="20"/>
  <c r="H36" i="20"/>
  <c r="AT12" i="22"/>
  <c r="AS14" i="22"/>
  <c r="AS16" i="22"/>
  <c r="AS13" i="22"/>
  <c r="AS17" i="22"/>
  <c r="AS19" i="22"/>
  <c r="AS15" i="22"/>
  <c r="AS20" i="22"/>
  <c r="AS24" i="22"/>
  <c r="AS26" i="22"/>
  <c r="AS28" i="22"/>
  <c r="AS21" i="22"/>
  <c r="AS29" i="22"/>
  <c r="AS22" i="22"/>
  <c r="AS25" i="22"/>
  <c r="AS30" i="22"/>
  <c r="AS18" i="22"/>
  <c r="AS27" i="22"/>
  <c r="AH30" i="23" s="1"/>
  <c r="AS23" i="22"/>
  <c r="AH29" i="23" s="1"/>
  <c r="D38" i="20" l="1"/>
  <c r="G37" i="20"/>
  <c r="H37" i="20"/>
  <c r="AU12" i="22"/>
  <c r="AT13" i="22"/>
  <c r="AT15" i="22"/>
  <c r="AT17" i="22"/>
  <c r="AT19" i="22"/>
  <c r="AT21" i="22"/>
  <c r="AT14" i="22"/>
  <c r="AT16" i="22"/>
  <c r="AT18" i="22"/>
  <c r="AT20" i="22"/>
  <c r="AT22" i="22"/>
  <c r="AT23" i="22"/>
  <c r="AT25" i="22"/>
  <c r="AT27" i="22"/>
  <c r="AI30" i="23" s="1"/>
  <c r="AT24" i="22"/>
  <c r="AT28" i="22"/>
  <c r="AT29" i="22"/>
  <c r="AT26" i="22"/>
  <c r="AT30" i="22"/>
  <c r="AI29" i="23" l="1"/>
  <c r="D39" i="20"/>
  <c r="G38" i="20"/>
  <c r="H38" i="20"/>
  <c r="AV12" i="22"/>
  <c r="AU13" i="22"/>
  <c r="AU15" i="22"/>
  <c r="AU17" i="22"/>
  <c r="AU18" i="22"/>
  <c r="AU22" i="22"/>
  <c r="AU14" i="22"/>
  <c r="AU19" i="22"/>
  <c r="AU23" i="22"/>
  <c r="AJ29" i="23" s="1"/>
  <c r="AU25" i="22"/>
  <c r="AU27" i="22"/>
  <c r="AU20" i="22"/>
  <c r="AU30" i="22"/>
  <c r="AU29" i="22"/>
  <c r="AU21" i="22"/>
  <c r="AU24" i="22"/>
  <c r="AU16" i="22"/>
  <c r="AU28" i="22"/>
  <c r="AU26" i="22"/>
  <c r="AJ30" i="23" l="1"/>
  <c r="D40" i="20"/>
  <c r="G39" i="20"/>
  <c r="H40" i="20"/>
  <c r="H39" i="20"/>
  <c r="AW12" i="22"/>
  <c r="AV14" i="22"/>
  <c r="AV16" i="22"/>
  <c r="AV18" i="22"/>
  <c r="AV20" i="22"/>
  <c r="AV22" i="22"/>
  <c r="AV13" i="22"/>
  <c r="AV15" i="22"/>
  <c r="AV17" i="22"/>
  <c r="AV19" i="22"/>
  <c r="AV21" i="22"/>
  <c r="AV24" i="22"/>
  <c r="AV26" i="22"/>
  <c r="AV23" i="22"/>
  <c r="AV27" i="22"/>
  <c r="AV30" i="22"/>
  <c r="AV25" i="22"/>
  <c r="AV29" i="22"/>
  <c r="AV28" i="22"/>
  <c r="AK30" i="23" l="1"/>
  <c r="AK29" i="23"/>
  <c r="D41" i="20"/>
  <c r="G40" i="20"/>
  <c r="AX12" i="22"/>
  <c r="AW14" i="22"/>
  <c r="AW16" i="22"/>
  <c r="AW21" i="22"/>
  <c r="AW13" i="22"/>
  <c r="AW17" i="22"/>
  <c r="AW18" i="22"/>
  <c r="AW22" i="22"/>
  <c r="AW24" i="22"/>
  <c r="AW26" i="22"/>
  <c r="AW28" i="22"/>
  <c r="AW19" i="22"/>
  <c r="AW29" i="22"/>
  <c r="AW30" i="22"/>
  <c r="AW20" i="22"/>
  <c r="AW23" i="22"/>
  <c r="AW27" i="22"/>
  <c r="AW15" i="22"/>
  <c r="AW25" i="22"/>
  <c r="AL30" i="23" l="1"/>
  <c r="G16" i="23"/>
  <c r="AL29" i="23"/>
  <c r="D42" i="20"/>
  <c r="G41" i="20"/>
  <c r="AY12" i="22"/>
  <c r="AX13" i="22"/>
  <c r="AX15" i="22"/>
  <c r="AX17" i="22"/>
  <c r="AX19" i="22"/>
  <c r="AX21" i="22"/>
  <c r="AX14" i="22"/>
  <c r="AX16" i="22"/>
  <c r="AX18" i="22"/>
  <c r="AX20" i="22"/>
  <c r="AX22" i="22"/>
  <c r="AX23" i="22"/>
  <c r="AX25" i="22"/>
  <c r="AX27" i="22"/>
  <c r="AX26" i="22"/>
  <c r="AX28" i="22"/>
  <c r="AX29" i="22"/>
  <c r="AX24" i="22"/>
  <c r="AX30" i="22"/>
  <c r="AM30" i="23" l="1"/>
  <c r="AM29" i="23"/>
  <c r="D43" i="20"/>
  <c r="G42" i="20"/>
  <c r="AZ12" i="22"/>
  <c r="AY13" i="22"/>
  <c r="AY15" i="22"/>
  <c r="AY17" i="22"/>
  <c r="AY20" i="22"/>
  <c r="AY21" i="22"/>
  <c r="AY23" i="22"/>
  <c r="AN29" i="23" s="1"/>
  <c r="AY25" i="22"/>
  <c r="AY27" i="22"/>
  <c r="AN30" i="23" s="1"/>
  <c r="AY18" i="22"/>
  <c r="AY30" i="22"/>
  <c r="AY19" i="22"/>
  <c r="AY26" i="22"/>
  <c r="AY28" i="22"/>
  <c r="AY14" i="22"/>
  <c r="AY22" i="22"/>
  <c r="AY29" i="22"/>
  <c r="AY16" i="22"/>
  <c r="AY24" i="22"/>
  <c r="D44" i="20" l="1"/>
  <c r="G44" i="20" s="1"/>
  <c r="G43" i="20"/>
  <c r="BA12" i="22"/>
  <c r="AZ14" i="22"/>
  <c r="AZ16" i="22"/>
  <c r="AZ18" i="22"/>
  <c r="AZ20" i="22"/>
  <c r="AZ22" i="22"/>
  <c r="AZ13" i="22"/>
  <c r="AZ15" i="22"/>
  <c r="AZ17" i="22"/>
  <c r="AZ19" i="22"/>
  <c r="AZ21" i="22"/>
  <c r="AZ24" i="22"/>
  <c r="AZ26" i="22"/>
  <c r="AZ25" i="22"/>
  <c r="AZ28" i="22"/>
  <c r="AZ30" i="22"/>
  <c r="AZ23" i="22"/>
  <c r="AZ27" i="22"/>
  <c r="AO30" i="23" s="1"/>
  <c r="AZ29" i="22"/>
  <c r="AO29" i="23" l="1"/>
  <c r="BA14" i="22"/>
  <c r="BA16" i="22"/>
  <c r="BA19" i="22"/>
  <c r="BA20" i="22"/>
  <c r="BA24" i="22"/>
  <c r="BA26" i="22"/>
  <c r="BA28" i="22"/>
  <c r="BA29" i="22"/>
  <c r="BA18" i="22"/>
  <c r="BA25" i="22"/>
  <c r="BA13" i="22"/>
  <c r="BA17" i="22"/>
  <c r="BA21" i="22"/>
  <c r="BA30" i="22"/>
  <c r="BA15" i="22"/>
  <c r="BA22" i="22"/>
  <c r="BA23" i="22"/>
  <c r="BA27" i="22"/>
  <c r="G23" i="23" s="1"/>
  <c r="AP29" i="23" l="1"/>
  <c r="AP30" i="23"/>
  <c r="K13" i="20"/>
  <c r="G17" i="23"/>
  <c r="G19" i="23" s="1"/>
  <c r="K12" i="23" l="1"/>
  <c r="K13" i="23"/>
  <c r="B29" i="19"/>
  <c r="G18" i="23"/>
  <c r="G13" i="23" s="1"/>
  <c r="K14" i="23" s="1"/>
  <c r="G21" i="23" l="1"/>
  <c r="G14" i="23"/>
  <c r="G15" i="23"/>
  <c r="H31" i="23" l="1"/>
  <c r="H34" i="23" s="1"/>
  <c r="I31" i="23"/>
  <c r="M31" i="23"/>
  <c r="M32" i="23" s="1"/>
  <c r="Q31" i="23"/>
  <c r="Q32" i="23" s="1"/>
  <c r="Q33" i="23" s="1"/>
  <c r="U31" i="23"/>
  <c r="U32" i="23" s="1"/>
  <c r="Y31" i="23"/>
  <c r="Y32" i="23" s="1"/>
  <c r="AC31" i="23"/>
  <c r="AC32" i="23" s="1"/>
  <c r="AC33" i="23" s="1"/>
  <c r="AG31" i="23"/>
  <c r="AG32" i="23" s="1"/>
  <c r="AK31" i="23"/>
  <c r="AK32" i="23" s="1"/>
  <c r="AO31" i="23"/>
  <c r="AO32" i="23" s="1"/>
  <c r="T31" i="23"/>
  <c r="T32" i="23" s="1"/>
  <c r="AJ31" i="23"/>
  <c r="AJ32" i="23" s="1"/>
  <c r="J31" i="23"/>
  <c r="J32" i="23" s="1"/>
  <c r="N31" i="23"/>
  <c r="N32" i="23" s="1"/>
  <c r="R31" i="23"/>
  <c r="R32" i="23" s="1"/>
  <c r="V31" i="23"/>
  <c r="V32" i="23" s="1"/>
  <c r="Z31" i="23"/>
  <c r="Z32" i="23" s="1"/>
  <c r="AD31" i="23"/>
  <c r="AD32" i="23" s="1"/>
  <c r="AH31" i="23"/>
  <c r="AH32" i="23" s="1"/>
  <c r="AL31" i="23"/>
  <c r="AL32" i="23" s="1"/>
  <c r="AP31" i="23"/>
  <c r="AP32" i="23" s="1"/>
  <c r="P31" i="23"/>
  <c r="P32" i="23" s="1"/>
  <c r="AB31" i="23"/>
  <c r="AB32" i="23" s="1"/>
  <c r="AF31" i="23"/>
  <c r="AF32" i="23" s="1"/>
  <c r="K31" i="23"/>
  <c r="K32" i="23" s="1"/>
  <c r="O31" i="23"/>
  <c r="O32" i="23" s="1"/>
  <c r="S31" i="23"/>
  <c r="S32" i="23" s="1"/>
  <c r="W31" i="23"/>
  <c r="W32" i="23" s="1"/>
  <c r="W33" i="23" s="1"/>
  <c r="AA31" i="23"/>
  <c r="AA32" i="23" s="1"/>
  <c r="AE31" i="23"/>
  <c r="AE32" i="23" s="1"/>
  <c r="AI31" i="23"/>
  <c r="AI32" i="23" s="1"/>
  <c r="AM31" i="23"/>
  <c r="AM32" i="23" s="1"/>
  <c r="L31" i="23"/>
  <c r="L32" i="23" s="1"/>
  <c r="L33" i="23" s="1"/>
  <c r="X31" i="23"/>
  <c r="X32" i="23" s="1"/>
  <c r="AN31" i="23"/>
  <c r="AN32" i="23" s="1"/>
  <c r="AP34" i="23" l="1"/>
  <c r="S27" i="22"/>
  <c r="S30" i="22"/>
  <c r="S17" i="22"/>
  <c r="S26" i="22"/>
  <c r="S19" i="22"/>
  <c r="S22" i="22"/>
  <c r="J34" i="23" l="1"/>
  <c r="I34" i="23"/>
  <c r="P34" i="23" l="1"/>
  <c r="AB34" i="23"/>
  <c r="AA34" i="23"/>
  <c r="Y34" i="23"/>
  <c r="AE34" i="23"/>
  <c r="W34" i="23"/>
  <c r="W35" i="23" s="1"/>
  <c r="U34" i="23"/>
  <c r="T34" i="23"/>
  <c r="AO34" i="23"/>
  <c r="AK34" i="23"/>
  <c r="AN34" i="23"/>
  <c r="AI34" i="23"/>
  <c r="AH34" i="23"/>
  <c r="M34" i="23"/>
  <c r="Q34" i="23"/>
  <c r="Q35" i="23" s="1"/>
  <c r="AM34" i="23"/>
  <c r="S34" i="23"/>
  <c r="AC34" i="23"/>
  <c r="AC35" i="23" s="1"/>
  <c r="Z34" i="23"/>
  <c r="L34" i="23"/>
  <c r="L35" i="23" s="1"/>
  <c r="K34" i="23"/>
  <c r="X34" i="23"/>
  <c r="X33" i="23"/>
  <c r="V34" i="23"/>
  <c r="V33" i="23"/>
  <c r="AF34" i="23"/>
  <c r="AF33" i="23"/>
  <c r="R34" i="23"/>
  <c r="R33" i="23"/>
  <c r="F78" i="19"/>
  <c r="H78" i="19" s="1"/>
  <c r="F76" i="19"/>
  <c r="H76" i="19" s="1"/>
  <c r="AP33" i="23"/>
  <c r="AL34" i="23"/>
  <c r="AL33" i="23"/>
  <c r="AJ34" i="23"/>
  <c r="AJ33" i="23"/>
  <c r="AG34" i="23"/>
  <c r="AG33" i="23"/>
  <c r="N34" i="23"/>
  <c r="N33" i="23"/>
  <c r="O34" i="23"/>
  <c r="O33" i="23"/>
  <c r="AD34" i="23"/>
  <c r="AD33" i="23"/>
  <c r="AO35" i="23"/>
  <c r="AO33" i="23"/>
  <c r="AB35" i="23"/>
  <c r="AB33" i="23"/>
  <c r="AJ35" i="23" l="1"/>
  <c r="V35" i="23"/>
  <c r="O35" i="23"/>
  <c r="AL35" i="23"/>
  <c r="AF35" i="23"/>
  <c r="X35" i="23"/>
  <c r="AD35" i="23"/>
  <c r="AP35" i="23"/>
  <c r="AG35" i="23"/>
  <c r="N35" i="23"/>
  <c r="R35" i="23"/>
</calcChain>
</file>

<file path=xl/sharedStrings.xml><?xml version="1.0" encoding="utf-8"?>
<sst xmlns="http://schemas.openxmlformats.org/spreadsheetml/2006/main" count="306" uniqueCount="170">
  <si>
    <t>Unit</t>
  </si>
  <si>
    <t>Scope 1</t>
  </si>
  <si>
    <t>Scope 2</t>
  </si>
  <si>
    <t>Data</t>
  </si>
  <si>
    <t>Sector</t>
  </si>
  <si>
    <t>Source</t>
  </si>
  <si>
    <t>Service buildings</t>
  </si>
  <si>
    <t>Residential buildings</t>
  </si>
  <si>
    <t>Power generation</t>
  </si>
  <si>
    <t>IEA ETP 2017 B2DS Pathways</t>
  </si>
  <si>
    <t>TWh</t>
  </si>
  <si>
    <r>
      <t>m</t>
    </r>
    <r>
      <rPr>
        <vertAlign val="superscript"/>
        <sz val="8"/>
        <rFont val="Arial"/>
        <family val="2"/>
      </rPr>
      <t>2</t>
    </r>
  </si>
  <si>
    <t>Calculations</t>
  </si>
  <si>
    <t>Parameter</t>
  </si>
  <si>
    <t>Value</t>
  </si>
  <si>
    <t>Scope 1+2</t>
  </si>
  <si>
    <t>Year</t>
  </si>
  <si>
    <t>Intensity</t>
  </si>
  <si>
    <t>B2DS Scenario Data</t>
  </si>
  <si>
    <t>Scope</t>
  </si>
  <si>
    <t>Activity</t>
  </si>
  <si>
    <t>ID</t>
  </si>
  <si>
    <t>Emissions</t>
  </si>
  <si>
    <t>Floor area</t>
  </si>
  <si>
    <t>Electricity use</t>
  </si>
  <si>
    <t>Constant</t>
  </si>
  <si>
    <t>kg/tonne</t>
  </si>
  <si>
    <t>Tbl_IEA_ColYear</t>
  </si>
  <si>
    <t>Interpolation</t>
  </si>
  <si>
    <t>Tbl_IEA_RowId</t>
  </si>
  <si>
    <t>Sector carbon intensity</t>
  </si>
  <si>
    <r>
      <t>million m</t>
    </r>
    <r>
      <rPr>
        <vertAlign val="superscript"/>
        <sz val="8"/>
        <rFont val="Arial"/>
        <family val="2"/>
      </rPr>
      <t xml:space="preserve">2 </t>
    </r>
  </si>
  <si>
    <t>Line</t>
  </si>
  <si>
    <t>Marker</t>
  </si>
  <si>
    <t>Units</t>
  </si>
  <si>
    <t>Version:</t>
  </si>
  <si>
    <t>Support:</t>
  </si>
  <si>
    <t xml:space="preserve">Version </t>
  </si>
  <si>
    <t>Version 1.1</t>
  </si>
  <si>
    <t>info@sciencebasedtargets.org</t>
  </si>
  <si>
    <r>
      <rPr>
        <b/>
        <sz val="14"/>
        <color rgb="FFB42D33"/>
        <rFont val="Arial"/>
        <family val="2"/>
      </rPr>
      <t>IMPORTANT:</t>
    </r>
    <r>
      <rPr>
        <sz val="14"/>
        <color rgb="FFB42D33"/>
        <rFont val="Arial"/>
        <family val="2"/>
      </rPr>
      <t xml:space="preserve"> By using this tool you acknowledge that you have read, understood and agree to our Terms of Use and Disclaimer.</t>
    </r>
  </si>
  <si>
    <t>Terms of use</t>
  </si>
  <si>
    <t>Disclaimer</t>
  </si>
  <si>
    <t>References</t>
  </si>
  <si>
    <t>History of revisions</t>
  </si>
  <si>
    <t>Release date</t>
  </si>
  <si>
    <t>Description</t>
  </si>
  <si>
    <t>DRAFT 0.0</t>
  </si>
  <si>
    <t>-----</t>
  </si>
  <si>
    <t>Draft for beta-testing / SBTi review</t>
  </si>
  <si>
    <t>DRAFT 1.0</t>
  </si>
  <si>
    <t>Released for public use</t>
  </si>
  <si>
    <t>Acronyms and definitions</t>
  </si>
  <si>
    <t>IEA</t>
  </si>
  <si>
    <t>International Energy Agency</t>
  </si>
  <si>
    <t>ETP</t>
  </si>
  <si>
    <t>Energy Technology Perspectives</t>
  </si>
  <si>
    <t>B2DS</t>
  </si>
  <si>
    <t>Beyond two degree scenario as defined in IEA "Energy Technology Perspectives" (2017)</t>
  </si>
  <si>
    <t>SDA</t>
  </si>
  <si>
    <t>Sectoral Decarbonization Approach</t>
  </si>
  <si>
    <t>Metric tons of carbon dioxide equivalent</t>
  </si>
  <si>
    <t>Kilograms of carbon dioxide equivalent</t>
  </si>
  <si>
    <t>Expansion of coverage to consider instances of fixed market growth, text &amp; formatting changes for consistency</t>
  </si>
  <si>
    <r>
      <t>tCO</t>
    </r>
    <r>
      <rPr>
        <b/>
        <vertAlign val="subscript"/>
        <sz val="10"/>
        <color theme="0"/>
        <rFont val="Arial"/>
        <family val="2"/>
      </rPr>
      <t>2</t>
    </r>
    <r>
      <rPr>
        <b/>
        <sz val="10"/>
        <color theme="0"/>
        <rFont val="Arial"/>
        <family val="2"/>
      </rPr>
      <t>e</t>
    </r>
  </si>
  <si>
    <r>
      <t>kgCO</t>
    </r>
    <r>
      <rPr>
        <b/>
        <vertAlign val="subscript"/>
        <sz val="10"/>
        <color theme="0"/>
        <rFont val="Arial"/>
        <family val="2"/>
      </rPr>
      <t>2</t>
    </r>
    <r>
      <rPr>
        <b/>
        <sz val="10"/>
        <color theme="0"/>
        <rFont val="Arial"/>
        <family val="2"/>
      </rPr>
      <t>e</t>
    </r>
  </si>
  <si>
    <t>About the Science Based Targets initiative (SBTi) and the Partnership for Carbon Accouting Financials (PCAF)</t>
  </si>
  <si>
    <t>QUICK GUIDE</t>
  </si>
  <si>
    <t xml:space="preserve">How to navigate this tool </t>
  </si>
  <si>
    <t>README</t>
  </si>
  <si>
    <t xml:space="preserve">BACK-END DATA </t>
  </si>
  <si>
    <t>Please review our terms of use, disclaimer, and history of revisions made to this tool.</t>
  </si>
  <si>
    <t xml:space="preserve">Review data references here. </t>
  </si>
  <si>
    <t>Select a base year and a target year from the drop-down menus.</t>
  </si>
  <si>
    <t>Using the SDA tool</t>
  </si>
  <si>
    <t>https://www.iea.org/reports/energy-technology-perspectives-2017</t>
  </si>
  <si>
    <t>Section 1. Input data</t>
  </si>
  <si>
    <t>Target setting method</t>
  </si>
  <si>
    <t>SDA scenario</t>
  </si>
  <si>
    <t>Base year</t>
  </si>
  <si>
    <t>Target year</t>
  </si>
  <si>
    <t>Projected output measure</t>
  </si>
  <si>
    <t>ETP B2DS</t>
  </si>
  <si>
    <t>Dropdown</t>
  </si>
  <si>
    <t>Square meters</t>
  </si>
  <si>
    <t>IMPORTANT NOTICE:</t>
  </si>
  <si>
    <t xml:space="preserve">Please help us improve this tool by reporting issues related to functionalities and formatting. </t>
  </si>
  <si>
    <t>Section 2. Sectoral Decarbonization Approach</t>
  </si>
  <si>
    <t xml:space="preserve">Graph 1 | SDA absolute emissions </t>
  </si>
  <si>
    <t>IEA ETP B2DS scenario</t>
  </si>
  <si>
    <t>% Reduction</t>
  </si>
  <si>
    <t>Admin sheet</t>
  </si>
  <si>
    <t>Commercial real estate</t>
  </si>
  <si>
    <t>Residential mortgages</t>
  </si>
  <si>
    <t>Fixed market share</t>
  </si>
  <si>
    <t>Target year output</t>
  </si>
  <si>
    <t>https://sciencebasedtargets.org/wp-content/uploads/2015/05/Sectoral-Decarbonization-Approach-Report.pdf</t>
  </si>
  <si>
    <t>Sector activities</t>
  </si>
  <si>
    <t>Base year activities</t>
  </si>
  <si>
    <t>%</t>
  </si>
  <si>
    <t>Tbl_KeyValues_RowId</t>
  </si>
  <si>
    <t>Tbl_KeyValues</t>
  </si>
  <si>
    <t>Sector activities annual growth rate</t>
  </si>
  <si>
    <t>cst_kg_tonne</t>
  </si>
  <si>
    <t>cst_convergence_yr</t>
  </si>
  <si>
    <t>Power generated</t>
  </si>
  <si>
    <t>SDA Tool for Commercial Real Estate 
and Residential Mortgages</t>
  </si>
  <si>
    <t>Tbl_IEA</t>
  </si>
  <si>
    <t>SDA Tool for Commercial Real Estate
and Residential Mortgages</t>
  </si>
  <si>
    <t>Subsector</t>
  </si>
  <si>
    <t>Sector activities total growth</t>
  </si>
  <si>
    <r>
      <t>kgCO</t>
    </r>
    <r>
      <rPr>
        <vertAlign val="subscript"/>
        <sz val="8"/>
        <rFont val="Arial"/>
        <family val="2"/>
      </rPr>
      <t>2</t>
    </r>
    <r>
      <rPr>
        <sz val="8"/>
        <rFont val="Arial"/>
        <family val="2"/>
      </rPr>
      <t>e/m</t>
    </r>
    <r>
      <rPr>
        <vertAlign val="superscript"/>
        <sz val="8"/>
        <rFont val="Arial"/>
        <family val="2"/>
      </rPr>
      <t>2</t>
    </r>
  </si>
  <si>
    <r>
      <t>MtonCO</t>
    </r>
    <r>
      <rPr>
        <vertAlign val="subscript"/>
        <sz val="8"/>
        <rFont val="Arial"/>
        <family val="2"/>
      </rPr>
      <t>2</t>
    </r>
    <r>
      <rPr>
        <sz val="8"/>
        <rFont val="Arial"/>
        <family val="2"/>
      </rPr>
      <t>e</t>
    </r>
  </si>
  <si>
    <t>Series type</t>
  </si>
  <si>
    <t>Sector intensity</t>
  </si>
  <si>
    <r>
      <t>tonne CO</t>
    </r>
    <r>
      <rPr>
        <vertAlign val="subscript"/>
        <sz val="8"/>
        <rFont val="Arial"/>
        <family val="2"/>
      </rPr>
      <t>2</t>
    </r>
    <r>
      <rPr>
        <sz val="8"/>
        <rFont val="Arial"/>
        <family val="2"/>
      </rPr>
      <t>e</t>
    </r>
  </si>
  <si>
    <r>
      <t>CI</t>
    </r>
    <r>
      <rPr>
        <b/>
        <i/>
        <vertAlign val="subscript"/>
        <sz val="8"/>
        <rFont val="Arial"/>
        <family val="2"/>
        <scheme val="major"/>
      </rPr>
      <t>y</t>
    </r>
    <r>
      <rPr>
        <b/>
        <i/>
        <sz val="8"/>
        <rFont val="Arial"/>
        <family val="2"/>
        <scheme val="major"/>
      </rPr>
      <t xml:space="preserve"> = Company carbon intensity at target year</t>
    </r>
  </si>
  <si>
    <r>
      <t>CI</t>
    </r>
    <r>
      <rPr>
        <b/>
        <i/>
        <vertAlign val="subscript"/>
        <sz val="8"/>
        <rFont val="Arial"/>
        <family val="2"/>
        <scheme val="major"/>
      </rPr>
      <t>b</t>
    </r>
    <r>
      <rPr>
        <b/>
        <i/>
        <sz val="8"/>
        <rFont val="Arial"/>
        <family val="2"/>
        <scheme val="major"/>
      </rPr>
      <t xml:space="preserve"> = Company carbon intensity at base year</t>
    </r>
  </si>
  <si>
    <r>
      <t>CA</t>
    </r>
    <r>
      <rPr>
        <b/>
        <i/>
        <vertAlign val="subscript"/>
        <sz val="8"/>
        <rFont val="Arial"/>
        <family val="2"/>
        <scheme val="major"/>
      </rPr>
      <t>b</t>
    </r>
    <r>
      <rPr>
        <b/>
        <i/>
        <sz val="8"/>
        <rFont val="Arial"/>
        <family val="2"/>
        <scheme val="major"/>
      </rPr>
      <t xml:space="preserve"> = Company activities at base year</t>
    </r>
  </si>
  <si>
    <r>
      <t>CA</t>
    </r>
    <r>
      <rPr>
        <b/>
        <i/>
        <vertAlign val="subscript"/>
        <sz val="8"/>
        <rFont val="Arial"/>
        <family val="2"/>
        <scheme val="major"/>
      </rPr>
      <t>y</t>
    </r>
    <r>
      <rPr>
        <b/>
        <i/>
        <sz val="8"/>
        <rFont val="Arial"/>
        <family val="2"/>
        <scheme val="major"/>
      </rPr>
      <t xml:space="preserve"> = Company activities at target year</t>
    </r>
  </si>
  <si>
    <r>
      <t>SI</t>
    </r>
    <r>
      <rPr>
        <b/>
        <i/>
        <vertAlign val="subscript"/>
        <sz val="8"/>
        <rFont val="Arial"/>
        <family val="2"/>
        <scheme val="major"/>
      </rPr>
      <t>b</t>
    </r>
    <r>
      <rPr>
        <b/>
        <i/>
        <sz val="8"/>
        <rFont val="Arial"/>
        <family val="2"/>
        <scheme val="major"/>
      </rPr>
      <t xml:space="preserve"> = Sector carbon intensity at base year</t>
    </r>
  </si>
  <si>
    <r>
      <t>SI</t>
    </r>
    <r>
      <rPr>
        <b/>
        <i/>
        <vertAlign val="subscript"/>
        <sz val="8"/>
        <rFont val="Arial"/>
        <family val="2"/>
        <scheme val="major"/>
      </rPr>
      <t>y</t>
    </r>
    <r>
      <rPr>
        <b/>
        <i/>
        <sz val="8"/>
        <rFont val="Arial"/>
        <family val="2"/>
        <scheme val="major"/>
      </rPr>
      <t xml:space="preserve"> = Sector carbon intensity at target year</t>
    </r>
  </si>
  <si>
    <r>
      <t>SI</t>
    </r>
    <r>
      <rPr>
        <b/>
        <i/>
        <vertAlign val="subscript"/>
        <sz val="8"/>
        <rFont val="Arial"/>
        <family val="2"/>
        <scheme val="major"/>
      </rPr>
      <t>2050</t>
    </r>
    <r>
      <rPr>
        <b/>
        <i/>
        <sz val="8"/>
        <rFont val="Arial"/>
        <family val="2"/>
        <scheme val="major"/>
      </rPr>
      <t xml:space="preserve"> = Sector carbon intensity at convergence year 2050</t>
    </r>
  </si>
  <si>
    <r>
      <t>SA</t>
    </r>
    <r>
      <rPr>
        <b/>
        <i/>
        <vertAlign val="subscript"/>
        <sz val="8"/>
        <rFont val="Arial"/>
        <family val="2"/>
        <scheme val="major"/>
      </rPr>
      <t>b</t>
    </r>
    <r>
      <rPr>
        <b/>
        <i/>
        <sz val="8"/>
        <rFont val="Arial"/>
        <family val="2"/>
        <scheme val="major"/>
      </rPr>
      <t xml:space="preserve"> = Sector activities at target year</t>
    </r>
  </si>
  <si>
    <r>
      <t>SA</t>
    </r>
    <r>
      <rPr>
        <b/>
        <i/>
        <vertAlign val="subscript"/>
        <sz val="8"/>
        <rFont val="Arial"/>
        <family val="2"/>
        <scheme val="major"/>
      </rPr>
      <t>y</t>
    </r>
    <r>
      <rPr>
        <b/>
        <i/>
        <sz val="8"/>
        <rFont val="Arial"/>
        <family val="2"/>
        <scheme val="major"/>
      </rPr>
      <t xml:space="preserve"> = Sector activities at target year</t>
    </r>
  </si>
  <si>
    <t>Tbl_Calc_ColYear</t>
  </si>
  <si>
    <t>Tbl_Calc</t>
  </si>
  <si>
    <r>
      <t xml:space="preserve">The </t>
    </r>
    <r>
      <rPr>
        <b/>
        <sz val="10"/>
        <color theme="0"/>
        <rFont val="Arial"/>
        <family val="2"/>
      </rPr>
      <t>Science Based Targets Initiative (SBTi) champions science-based target setting as a powerful way of boosting companies’ competitive advantage in the transition to the low-carbon economy.</t>
    </r>
    <r>
      <rPr>
        <sz val="10"/>
        <color theme="0"/>
        <rFont val="Arial"/>
        <family val="2"/>
      </rPr>
      <t xml:space="preserve"> SBTi is a collaboration between CDP, the United Nations Global Compact (UNGC), World Resources Institute (WRI), and the World Wide Fund for Nature (WWF) and one of the We Mean Business Coalition commitments.
</t>
    </r>
    <r>
      <rPr>
        <b/>
        <sz val="10"/>
        <color theme="0"/>
        <rFont val="Arial"/>
        <family val="2"/>
      </rPr>
      <t>In 2018, the SBTi launched a project to help financial institutions align their lending and investment portfolios with the ambition of the Paris Agreement.</t>
    </r>
    <r>
      <rPr>
        <sz val="10"/>
        <color theme="0"/>
        <rFont val="Arial"/>
        <family val="2"/>
      </rPr>
      <t xml:space="preserve"> The project is focused on developing methods, criteria, and guidance for financial institutions to set science-based targets (SBTs). It applies to universal banks, pensions funds, insurance companies, and public financial institutions.  World Resources Institute (WRI) is the managing SBTi partner for this project and works closely with WWF and CDP through a project core team. Guidehouse provides technical support on method development.
</t>
    </r>
    <r>
      <rPr>
        <b/>
        <sz val="10"/>
        <color theme="0"/>
        <rFont val="Arial"/>
        <family val="2"/>
      </rPr>
      <t>The methods developed covered four asset classes: real estate, mortgages, electricity generation project finance, and corporate instruments</t>
    </r>
    <r>
      <rPr>
        <sz val="10"/>
        <color theme="0"/>
        <rFont val="Arial"/>
        <family val="2"/>
      </rPr>
      <t xml:space="preserve"> (equity, bonds and loans). The Sectoral Decarbonization Approach (SDA) was used to develop methods for these four asset classes. Two additional methods were developed for corporate instruments: the portfolio coverage approach and the temperature alignment method. The final version of the methods description, criteria and guidance for application will be published in September 2020. For more information on SBTi for financials visit: https://sciencebasedtargets.org/financial-institutions/
</t>
    </r>
    <r>
      <rPr>
        <b/>
        <sz val="10"/>
        <color theme="0"/>
        <rFont val="Arial"/>
        <family val="2"/>
      </rPr>
      <t>Guidehouse has developed this calculation sheet to help financial institutions assess targets on residential mortgages and commercial real estate portfolios, using the SDA</t>
    </r>
    <r>
      <rPr>
        <sz val="10"/>
        <color theme="0"/>
        <rFont val="Arial"/>
        <family val="2"/>
      </rPr>
      <t xml:space="preserve">. For instructions on how to use this tool, see the adjacent tab "Quick guide".
</t>
    </r>
    <r>
      <rPr>
        <b/>
        <sz val="10"/>
        <color theme="0"/>
        <rFont val="Arial"/>
        <family val="2"/>
      </rPr>
      <t>Determining portfolio emissions intensity is the starting point to apply SDA for target setting.</t>
    </r>
    <r>
      <rPr>
        <sz val="10"/>
        <color theme="0"/>
        <rFont val="Arial"/>
        <family val="2"/>
      </rPr>
      <t xml:space="preserve"> Portfolio emissions intensity refers to financed emissions per unit of activity data. In the case of mortgages and real estate, that is kgCO</t>
    </r>
    <r>
      <rPr>
        <vertAlign val="subscript"/>
        <sz val="10"/>
        <color theme="0"/>
        <rFont val="Arial"/>
        <family val="2"/>
      </rPr>
      <t>2</t>
    </r>
    <r>
      <rPr>
        <sz val="10"/>
        <color theme="0"/>
        <rFont val="Arial"/>
        <family val="2"/>
      </rPr>
      <t>e/m</t>
    </r>
    <r>
      <rPr>
        <vertAlign val="superscript"/>
        <sz val="10"/>
        <color theme="0"/>
        <rFont val="Arial"/>
        <family val="2"/>
      </rPr>
      <t>2</t>
    </r>
    <r>
      <rPr>
        <sz val="10"/>
        <color theme="0"/>
        <rFont val="Arial"/>
        <family val="2"/>
      </rPr>
      <t>, and is derived as follows:
(i) Measure GHG emissions scope 1 and 2 of building in portfolio (including scope 2 emissions of tenants)
(ii) Calculate the share of buildings' emissions that should be attributed to the financial institution (i.e. financed emissions)
(iii) Divide the sum of attributed emissions of all loans by the sum of attributed activity data (m</t>
    </r>
    <r>
      <rPr>
        <vertAlign val="superscript"/>
        <sz val="10"/>
        <color theme="0"/>
        <rFont val="Arial"/>
        <family val="2"/>
      </rPr>
      <t>2</t>
    </r>
    <r>
      <rPr>
        <sz val="10"/>
        <color theme="0"/>
        <rFont val="Arial"/>
        <family val="2"/>
      </rPr>
      <t xml:space="preserve">) of all buildings in portfolio. 
</t>
    </r>
    <r>
      <rPr>
        <b/>
        <sz val="10"/>
        <color theme="0"/>
        <rFont val="Arial"/>
        <family val="2"/>
      </rPr>
      <t>The attribution rules to calculate financed emissions have been developed by the Partnership for Carbon Accounting Financials (PCAF)</t>
    </r>
    <r>
      <rPr>
        <sz val="10"/>
        <color theme="0"/>
        <rFont val="Arial"/>
        <family val="2"/>
      </rPr>
      <t>, whose upcoming publication "The Global Carbon Accounting Standard for the Financial Industry" provides a detail description of methods and accounting rules for measuring financed emissions per asset class. 
PCAF is a global partnership of financial institutions that work together to develop and implement a harmonized approach to assess and disclose the greenhouse gas (GHG) emissions associated with their loans and investments. For more information on PCAF, visit: https://carbonaccountingfinancials.com/</t>
    </r>
  </si>
  <si>
    <t>Data and calculations used in modelling  scope 1 and 2 targets.</t>
  </si>
  <si>
    <t xml:space="preserve">Review the summary of results available. </t>
  </si>
  <si>
    <t>Target_year_dropdown</t>
  </si>
  <si>
    <t>Base_year_dropdown</t>
  </si>
  <si>
    <t>The Tool and associated materials have been prepared by Guidehouse for the SBTi with a high degree of expertise and professionalism, and reflect current best practice in science-based target setting. However, the Partner Organizations, collectively and individually, do not warrant the Tool for any purpose, nor do they make any representations regarding its accuracy, completeness, timeliness or fitness for any use or purpose whatsoever. Information generated by the tool is not intended to amount to advice on which reliance should be placed.
Developing science-based targets is a multi-step process and appropriate science-based targets for a financial institution by using this tool can only be developed after careful consideration of the necessary input data on financed emissions and activity, using the accounting approach developed by the Partnership for Carbon Accounting Financials (PCAF). The SBTi does not examine, verify or hold any such input data provided by users of the Tool.
The Tool relies on data obtained from a variety of third-party sources. This data was obtained from sources believed by the SBTi be reliable, but there can be no assurance as to the accuracy or completeness of this data. Further, scenarios and assumptions included in the Tool are inherently uncertain due to events or combinations of events that cannot reasonably be foreseen, including, without limitation, the actions of governments, organizations and individuals. The Partner Organizations, collectively and individually, make no warranties or representations about the accuracy or completeness of the data or assumptions contained in this Tool. 
You therefore understand that you use the Tool at your own discretion and risk. You agree that you are not entitled to rely on any information generated by the Tool. You further agree to hold the Partner Organizations, collectively and individually, harmless for loss you might suffer arising out of any inaccuracies in information generated by the Tool. Under no circumstances shall the Partner Organizations, collectively and individually, be liable for direct, indirect or consequential loss or damage arising from the use of the Tool or an inability to use it.</t>
  </si>
  <si>
    <r>
      <t>Emissions intensity (kgCO</t>
    </r>
    <r>
      <rPr>
        <b/>
        <i/>
        <vertAlign val="subscript"/>
        <sz val="10"/>
        <rFont val="Arial"/>
        <family val="2"/>
      </rPr>
      <t>2</t>
    </r>
    <r>
      <rPr>
        <b/>
        <i/>
        <sz val="10"/>
        <rFont val="Arial"/>
        <family val="2"/>
      </rPr>
      <t>e/m</t>
    </r>
    <r>
      <rPr>
        <b/>
        <i/>
        <vertAlign val="superscript"/>
        <sz val="10"/>
        <rFont val="Arial"/>
        <family val="2"/>
      </rPr>
      <t>2</t>
    </r>
    <r>
      <rPr>
        <b/>
        <i/>
        <sz val="10"/>
        <rFont val="Arial"/>
        <family val="2"/>
      </rPr>
      <t xml:space="preserve">) : </t>
    </r>
  </si>
  <si>
    <r>
      <t>Financial institutions | Absolute emissions (tCO</t>
    </r>
    <r>
      <rPr>
        <vertAlign val="subscript"/>
        <sz val="8"/>
        <color theme="0"/>
        <rFont val="Arial"/>
        <family val="2"/>
      </rPr>
      <t>2</t>
    </r>
    <r>
      <rPr>
        <sz val="8"/>
        <color theme="0"/>
        <rFont val="Arial"/>
        <family val="2"/>
      </rPr>
      <t>e)</t>
    </r>
  </si>
  <si>
    <r>
      <t>Financial institutions | Emissions intensity (kCO</t>
    </r>
    <r>
      <rPr>
        <vertAlign val="subscript"/>
        <sz val="8"/>
        <color theme="0"/>
        <rFont val="Arial"/>
        <family val="2"/>
      </rPr>
      <t>2</t>
    </r>
    <r>
      <rPr>
        <sz val="8"/>
        <color theme="0"/>
        <rFont val="Arial"/>
        <family val="2"/>
      </rPr>
      <t>/m</t>
    </r>
    <r>
      <rPr>
        <vertAlign val="superscript"/>
        <sz val="8"/>
        <color theme="0"/>
        <rFont val="Arial"/>
        <family val="2"/>
      </rPr>
      <t>2</t>
    </r>
    <r>
      <rPr>
        <sz val="8"/>
        <color theme="0"/>
        <rFont val="Arial"/>
        <family val="2"/>
      </rPr>
      <t>)</t>
    </r>
  </si>
  <si>
    <t xml:space="preserve">This Tool is intended to support financial institutions in their modeling of science-based emissions reductions targets, as well as to assist financial institutions and interested third parties in assessing and evaluating institution's targets. However, to be approved by the Science Based Targets initiative, financial institutions need to make sure that their target(s) fulfill the SBTi criteria. Please review the SBTi latest criteria and resources: </t>
  </si>
  <si>
    <t>https://sciencebasedtargets.org/financial-institutions-2-2/</t>
  </si>
  <si>
    <t>Asset class</t>
  </si>
  <si>
    <t>Asset class sub-sector</t>
  </si>
  <si>
    <t>Graph 2 | Target year Emissions Intensity</t>
  </si>
  <si>
    <t>FI activities</t>
  </si>
  <si>
    <t>FI activities annual growth rate</t>
  </si>
  <si>
    <t>FI activities total growth</t>
  </si>
  <si>
    <t>FI carbon intensity</t>
  </si>
  <si>
    <t>FI absolute emissions</t>
  </si>
  <si>
    <t>To converge the company carbon intensity to the sector carbon intensity, the equation below is used.
It is taken from the SBTi's Sectoral Decarbonization Approach Report, Version 1 (2015). Coefficients explained below main equation.</t>
  </si>
  <si>
    <t>cst_SI_2050</t>
  </si>
  <si>
    <t>Coefficient</t>
  </si>
  <si>
    <r>
      <t>d (kgCO</t>
    </r>
    <r>
      <rPr>
        <b/>
        <i/>
        <vertAlign val="subscript"/>
        <sz val="8"/>
        <rFont val="Arial"/>
        <family val="2"/>
      </rPr>
      <t>2</t>
    </r>
    <r>
      <rPr>
        <b/>
        <i/>
        <sz val="8"/>
        <rFont val="Arial"/>
        <family val="2"/>
      </rPr>
      <t>e/m</t>
    </r>
    <r>
      <rPr>
        <b/>
        <i/>
        <vertAlign val="superscript"/>
        <sz val="8"/>
        <rFont val="Arial"/>
        <family val="2"/>
      </rPr>
      <t>2</t>
    </r>
    <r>
      <rPr>
        <b/>
        <i/>
        <sz val="8"/>
        <rFont val="Arial"/>
        <family val="2"/>
      </rPr>
      <t>)</t>
    </r>
  </si>
  <si>
    <r>
      <t>p</t>
    </r>
    <r>
      <rPr>
        <b/>
        <i/>
        <vertAlign val="subscript"/>
        <sz val="8"/>
        <rFont val="Arial"/>
        <family val="2"/>
      </rPr>
      <t>y</t>
    </r>
  </si>
  <si>
    <r>
      <t>m</t>
    </r>
    <r>
      <rPr>
        <b/>
        <i/>
        <vertAlign val="subscript"/>
        <sz val="8"/>
        <rFont val="Arial"/>
        <family val="2"/>
      </rPr>
      <t>y</t>
    </r>
  </si>
  <si>
    <t>Front end of the target setting tool aimed at modelling SBTs for scope 1+2 + 3 for both commercial real estate and residential mortgages in line with current SBTi ambition requirements. It calculates targets using the SDA approach.</t>
  </si>
  <si>
    <t>This Tool is intended to enable financial institutions to develop appropriate science-based emissions reductions targets, as well as to assist financial institutions and interested third parties in assessing and evaluating institutions' targets. 
These terms of use govern all access to and use of the Tool. Please read these terms carefully before accessing or using the Tool and any associated materials. By accepting these terms, you indicate that you have read and understood them and that you agree to abide by them. If you do not agree to these terms, you will not be able to use the Tool.
The Science Based Targets initiative (SBTi) and its "Parter Organizations" (CDP, the United Nations Global Compact (UNGC), World Resources Institute (WRI) and the World Wide Fund for Nature (WWF)) reserve the right, at their discretion, to withdraw or amend the Tool without notice, and will not be liable if for any reason the Tool is unavailable at any time or for any period. Further, the Partner Organizations reserve the right to modify or replace any part of these terms of use. It is your responsibility to check these terms periodically for changes. Your continued use of the Tool following the posting of any changes to these terms constitutes acceptance of those changes.</t>
  </si>
  <si>
    <t>with their loans and investments. For more information on PCAF, visit: https://carbonaccountingfinancials.com/</t>
  </si>
  <si>
    <t>https://carbonaccountingfinancials.com/</t>
  </si>
  <si>
    <t>SDA TOOL 
Commercial Real Estate and Residential Mortgages</t>
  </si>
  <si>
    <t>Developed by:</t>
  </si>
  <si>
    <t xml:space="preserve">Developed by: </t>
  </si>
  <si>
    <t>Select an asset class and subsector from the drop-down menus</t>
  </si>
  <si>
    <t>Specify whether your projected output measure will be based on a fixed market share (growth aligned with sector's) or on your projected target year output, in which case your target year output must be specified in the corresponding field.</t>
  </si>
  <si>
    <r>
      <t>tCO</t>
    </r>
    <r>
      <rPr>
        <i/>
        <vertAlign val="subscript"/>
        <sz val="10"/>
        <rFont val="Arial"/>
        <family val="2"/>
      </rPr>
      <t>2</t>
    </r>
    <r>
      <rPr>
        <i/>
        <sz val="10"/>
        <rFont val="Arial"/>
        <family val="2"/>
      </rPr>
      <t>e</t>
    </r>
  </si>
  <si>
    <t>https://www.carbonaccountingfinancials.com</t>
  </si>
  <si>
    <t>Both the emissions and the base year activities need to be attributed to the loan and investment based on the methodologies as defined by PCAF's Global GHG Accounting Standard for the Financial Industry, see:</t>
  </si>
  <si>
    <t>Specify a base year activities in square meters and base year scope 1 + 2 + scope 3 emissions related to tenant's energy consumption in tons of carbon dioxide equivalent. Both base year activities and emissions should be attributed to the loan and investments based on PCAF's Global GHG Accounting Standard for the Financial Industry</t>
  </si>
  <si>
    <t>Version 1.2</t>
  </si>
  <si>
    <t>ETP2017_scenario_summary</t>
  </si>
  <si>
    <t>ETP2017_buildings_summary</t>
  </si>
  <si>
    <t>This tool uses data from the IEA "Energy Technology Perspectives" (2017), primarily activities and emissions from the scenario, industry, &amp; buildings summaries. The IEA publication can be accessed here:</t>
  </si>
  <si>
    <t>Fine adjustments to data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</si>
</sst>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quot;€&quot;#,##0;\-&quot;€&quot;#,##0"/>
    <numFmt numFmtId="165" formatCode="&quot;€&quot;#,##0.00;\-&quot;€&quot;#,##0.00"/>
    <numFmt numFmtId="166" formatCode="#,##0.00_ ;\-#,##0.00\ "/>
    <numFmt numFmtId="167" formatCode="#,##0_ ;\-#,##0\ "/>
    <numFmt numFmtId="168" formatCode="[$-409]d\-mmm\-yy;@"/>
  </numFmts>
  <fonts count="107" x14ac:knownFonts="1">
    <font>
      <sz val="8"/>
      <name val="Arial"/>
      <family val="2"/>
    </font>
    <font>
      <sz val="8"/>
      <color theme="1"/>
      <name val="Arial"/>
      <family val="2"/>
    </font>
    <font>
      <sz val="18"/>
      <color theme="3"/>
      <name val="Arial"/>
      <family val="2"/>
      <scheme val="major"/>
    </font>
    <font>
      <sz val="8"/>
      <color rgb="FF006100"/>
      <name val="Arial"/>
      <family val="2"/>
    </font>
    <font>
      <sz val="8"/>
      <color rgb="FF9C0006"/>
      <name val="Arial"/>
      <family val="2"/>
    </font>
    <font>
      <sz val="8"/>
      <color rgb="FF9C57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b/>
      <sz val="13"/>
      <color rgb="FF555759"/>
      <name val="Arial"/>
      <family val="2"/>
    </font>
    <font>
      <sz val="8"/>
      <name val="Arial"/>
      <family val="2"/>
    </font>
    <font>
      <sz val="8"/>
      <color rgb="FF648C1A"/>
      <name val="Arial"/>
      <family val="2"/>
    </font>
    <font>
      <b/>
      <sz val="11"/>
      <color rgb="FF555759"/>
      <name val="Arial"/>
      <family val="2"/>
    </font>
    <font>
      <sz val="8"/>
      <color rgb="FFAC0640"/>
      <name val="Arial"/>
      <family val="2"/>
    </font>
    <font>
      <sz val="8"/>
      <color rgb="FF95D600"/>
      <name val="Arial"/>
      <family val="2"/>
    </font>
    <font>
      <sz val="6"/>
      <color rgb="FF009383"/>
      <name val="Arial"/>
      <family val="2"/>
    </font>
    <font>
      <sz val="7"/>
      <color rgb="FF77797A"/>
      <name val="Arial"/>
      <family val="2"/>
    </font>
    <font>
      <sz val="8"/>
      <color rgb="FF555759"/>
      <name val="Arial"/>
      <family val="2"/>
    </font>
    <font>
      <sz val="8"/>
      <color rgb="FF989A9C"/>
      <name val="Arial"/>
      <family val="2"/>
    </font>
    <font>
      <u/>
      <sz val="8"/>
      <color rgb="FF648C1A"/>
      <name val="Arial"/>
      <family val="2"/>
    </font>
    <font>
      <u/>
      <sz val="8"/>
      <color rgb="FFACDE50"/>
      <name val="Arial"/>
      <family val="2"/>
    </font>
    <font>
      <b/>
      <sz val="8"/>
      <name val="Arial"/>
      <family val="2"/>
    </font>
    <font>
      <b/>
      <sz val="13"/>
      <color rgb="FFFFFFFF"/>
      <name val="Arial"/>
      <family val="2"/>
    </font>
    <font>
      <b/>
      <sz val="11"/>
      <color rgb="FFFFFFFF"/>
      <name val="Arial"/>
      <family val="2"/>
    </font>
    <font>
      <b/>
      <sz val="8"/>
      <color rgb="FFFFFFFF"/>
      <name val="Arial"/>
      <family val="2"/>
    </font>
    <font>
      <b/>
      <sz val="10"/>
      <color rgb="FFFFFFFF"/>
      <name val="Arial"/>
      <family val="2"/>
    </font>
    <font>
      <sz val="8"/>
      <color rgb="FFFFFFFF"/>
      <name val="Arial"/>
      <family val="2"/>
    </font>
    <font>
      <b/>
      <sz val="8"/>
      <color rgb="FF555759"/>
      <name val="Arial"/>
      <family val="2"/>
    </font>
    <font>
      <sz val="8"/>
      <color rgb="FFF07D05"/>
      <name val="Arial"/>
      <family val="2"/>
    </font>
    <font>
      <sz val="8"/>
      <color rgb="FF006579"/>
      <name val="Arial"/>
      <family val="2"/>
    </font>
    <font>
      <b/>
      <sz val="10"/>
      <color rgb="FF555759"/>
      <name val="Arial"/>
      <family val="2"/>
    </font>
    <font>
      <b/>
      <sz val="8"/>
      <color rgb="FF3F4143"/>
      <name val="Arial"/>
      <family val="2"/>
    </font>
    <font>
      <sz val="8"/>
      <color theme="5" tint="-0.499984740745262"/>
      <name val="Arial"/>
      <family val="2"/>
    </font>
    <font>
      <b/>
      <sz val="11"/>
      <color indexed="32"/>
      <name val="Verdana"/>
      <family val="2"/>
    </font>
    <font>
      <b/>
      <sz val="10"/>
      <color rgb="FF8B8D8E"/>
      <name val="Verdana"/>
      <family val="2"/>
    </font>
    <font>
      <sz val="8"/>
      <color rgb="FFA2A4A4"/>
      <name val="Arial"/>
      <family val="2"/>
    </font>
    <font>
      <vertAlign val="superscript"/>
      <sz val="8"/>
      <name val="Arial"/>
      <family val="2"/>
    </font>
    <font>
      <sz val="8"/>
      <color rgb="FF0039A6"/>
      <name val="Arial"/>
      <family val="2"/>
    </font>
    <font>
      <vertAlign val="subscript"/>
      <sz val="8"/>
      <name val="Arial"/>
      <family val="2"/>
    </font>
    <font>
      <sz val="10"/>
      <name val="Arial"/>
      <family val="2"/>
    </font>
    <font>
      <b/>
      <sz val="10"/>
      <name val="Arial"/>
      <family val="2"/>
    </font>
    <font>
      <u/>
      <sz val="10"/>
      <color rgb="FF0563C1"/>
      <name val="Arial"/>
      <family val="2"/>
    </font>
    <font>
      <b/>
      <sz val="22"/>
      <name val="Arial"/>
      <family val="2"/>
    </font>
    <font>
      <b/>
      <sz val="10"/>
      <color theme="1"/>
      <name val="Arial"/>
      <family val="2"/>
    </font>
    <font>
      <sz val="10"/>
      <color rgb="FF000000"/>
      <name val="Arial"/>
      <family val="2"/>
    </font>
    <font>
      <b/>
      <sz val="10"/>
      <color rgb="FF000000"/>
      <name val="Arial"/>
      <family val="2"/>
    </font>
    <font>
      <sz val="12"/>
      <color theme="1"/>
      <name val="Arial"/>
      <family val="2"/>
      <scheme val="minor"/>
    </font>
    <font>
      <sz val="14"/>
      <color rgb="FFB42D33"/>
      <name val="Arial"/>
      <family val="2"/>
    </font>
    <font>
      <b/>
      <sz val="14"/>
      <color rgb="FFB42D33"/>
      <name val="Arial"/>
      <family val="2"/>
    </font>
    <font>
      <sz val="10"/>
      <color rgb="FF00546E"/>
      <name val="Arial"/>
      <family val="2"/>
    </font>
    <font>
      <b/>
      <sz val="20"/>
      <color rgb="FF00546E"/>
      <name val="Arial"/>
      <family val="2"/>
    </font>
    <font>
      <b/>
      <sz val="16"/>
      <color rgb="FF00546E"/>
      <name val="Arial"/>
      <family val="2"/>
    </font>
    <font>
      <sz val="10"/>
      <color theme="0"/>
      <name val="Arial"/>
      <family val="2"/>
    </font>
    <font>
      <sz val="11"/>
      <color theme="0"/>
      <name val="Arial"/>
      <family val="2"/>
    </font>
    <font>
      <sz val="11"/>
      <color theme="1"/>
      <name val="Arial"/>
      <family val="2"/>
    </font>
    <font>
      <b/>
      <sz val="16"/>
      <color theme="5" tint="-0.499984740745262"/>
      <name val="Arial"/>
      <family val="2"/>
    </font>
    <font>
      <b/>
      <u/>
      <sz val="10"/>
      <color theme="0"/>
      <name val="Arial"/>
      <family val="2"/>
    </font>
    <font>
      <b/>
      <sz val="10"/>
      <color theme="0"/>
      <name val="Arial"/>
      <family val="2"/>
    </font>
    <font>
      <b/>
      <vertAlign val="subscript"/>
      <sz val="10"/>
      <color theme="0"/>
      <name val="Arial"/>
      <family val="2"/>
    </font>
    <font>
      <vertAlign val="subscript"/>
      <sz val="10"/>
      <color theme="0"/>
      <name val="Arial"/>
      <family val="2"/>
    </font>
    <font>
      <vertAlign val="superscript"/>
      <sz val="10"/>
      <color theme="0"/>
      <name val="Arial"/>
      <family val="2"/>
    </font>
    <font>
      <b/>
      <sz val="24"/>
      <name val="Arial"/>
      <family val="2"/>
    </font>
    <font>
      <b/>
      <sz val="20"/>
      <color theme="0"/>
      <name val="Arial"/>
      <family val="2"/>
    </font>
    <font>
      <sz val="14"/>
      <color theme="0"/>
      <name val="Arial"/>
      <family val="2"/>
    </font>
    <font>
      <sz val="10"/>
      <color theme="1"/>
      <name val="Arial"/>
      <family val="2"/>
    </font>
    <font>
      <b/>
      <sz val="12"/>
      <color theme="0"/>
      <name val="Arial"/>
      <family val="2"/>
    </font>
    <font>
      <sz val="12"/>
      <color theme="1"/>
      <name val="Arial"/>
      <family val="2"/>
    </font>
    <font>
      <b/>
      <u/>
      <sz val="11"/>
      <color theme="0"/>
      <name val="Arial"/>
      <family val="2"/>
    </font>
    <font>
      <sz val="12"/>
      <color theme="0"/>
      <name val="Arial"/>
      <family val="2"/>
    </font>
    <font>
      <sz val="8"/>
      <color theme="0"/>
      <name val="Arial"/>
      <family val="2"/>
    </font>
    <font>
      <u/>
      <sz val="10"/>
      <color theme="0"/>
      <name val="Arial"/>
      <family val="2"/>
    </font>
    <font>
      <b/>
      <sz val="10"/>
      <name val="Calibri"/>
      <family val="2"/>
    </font>
    <font>
      <sz val="8"/>
      <color rgb="FFD9D9D9"/>
      <name val="Arial"/>
      <family val="2"/>
    </font>
    <font>
      <b/>
      <sz val="8"/>
      <name val="Arial"/>
      <family val="2"/>
      <scheme val="major"/>
    </font>
    <font>
      <sz val="8"/>
      <name val="Arial"/>
      <family val="2"/>
      <scheme val="major"/>
    </font>
    <font>
      <u/>
      <sz val="8"/>
      <name val="Arial"/>
      <family val="2"/>
      <scheme val="major"/>
    </font>
    <font>
      <i/>
      <sz val="10"/>
      <name val="Arial"/>
      <family val="2"/>
    </font>
    <font>
      <b/>
      <sz val="8"/>
      <color theme="2"/>
      <name val="Arial"/>
      <family val="2"/>
      <scheme val="major"/>
    </font>
    <font>
      <b/>
      <sz val="8"/>
      <color theme="2"/>
      <name val="Arial"/>
      <family val="2"/>
    </font>
    <font>
      <b/>
      <sz val="14"/>
      <color theme="0"/>
      <name val="Arial"/>
      <family val="2"/>
    </font>
    <font>
      <sz val="9"/>
      <name val="Arial"/>
      <family val="2"/>
    </font>
    <font>
      <sz val="11"/>
      <name val="Arial"/>
      <family val="2"/>
      <scheme val="major"/>
    </font>
    <font>
      <sz val="11"/>
      <name val="Arial"/>
      <family val="2"/>
    </font>
    <font>
      <b/>
      <i/>
      <sz val="10"/>
      <name val="Arial"/>
      <family val="2"/>
    </font>
    <font>
      <vertAlign val="subscript"/>
      <sz val="8"/>
      <color theme="0"/>
      <name val="Arial"/>
      <family val="2"/>
    </font>
    <font>
      <vertAlign val="superscript"/>
      <sz val="8"/>
      <color theme="0"/>
      <name val="Arial"/>
      <family val="2"/>
    </font>
    <font>
      <b/>
      <i/>
      <vertAlign val="superscript"/>
      <sz val="10"/>
      <name val="Arial"/>
      <family val="2"/>
    </font>
    <font>
      <b/>
      <i/>
      <vertAlign val="subscript"/>
      <sz val="10"/>
      <name val="Arial"/>
      <family val="2"/>
    </font>
    <font>
      <u/>
      <sz val="8"/>
      <color rgb="FF0563C1"/>
      <name val="Arial"/>
      <family val="2"/>
    </font>
    <font>
      <b/>
      <i/>
      <sz val="8"/>
      <name val="Arial"/>
      <family val="2"/>
      <scheme val="major"/>
    </font>
    <font>
      <b/>
      <i/>
      <vertAlign val="subscript"/>
      <sz val="8"/>
      <name val="Arial"/>
      <family val="2"/>
      <scheme val="major"/>
    </font>
    <font>
      <b/>
      <sz val="11"/>
      <name val="Arial"/>
      <family val="2"/>
    </font>
    <font>
      <b/>
      <sz val="11"/>
      <name val="Arial"/>
      <family val="2"/>
      <scheme val="major"/>
    </font>
    <font>
      <sz val="9.5"/>
      <name val="Arial"/>
      <family val="2"/>
    </font>
    <font>
      <b/>
      <i/>
      <sz val="8"/>
      <name val="Arial"/>
      <family val="2"/>
    </font>
    <font>
      <b/>
      <i/>
      <vertAlign val="subscript"/>
      <sz val="8"/>
      <name val="Arial"/>
      <family val="2"/>
    </font>
    <font>
      <b/>
      <i/>
      <vertAlign val="superscript"/>
      <sz val="8"/>
      <name val="Arial"/>
      <family val="2"/>
    </font>
    <font>
      <i/>
      <sz val="10"/>
      <name val="Arial"/>
      <family val="2"/>
    </font>
    <font>
      <b/>
      <sz val="12"/>
      <color theme="1"/>
      <name val="Arial"/>
      <family val="2"/>
      <scheme val="minor"/>
    </font>
    <font>
      <b/>
      <sz val="10"/>
      <color theme="1"/>
      <name val="Arial"/>
      <family val="2"/>
      <scheme val="minor"/>
    </font>
    <font>
      <sz val="12"/>
      <color theme="1"/>
      <name val="Arial"/>
      <family val="2"/>
      <scheme val="minor"/>
    </font>
    <font>
      <i/>
      <vertAlign val="subscript"/>
      <sz val="1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FFF1D1"/>
        <bgColor indexed="64"/>
      </patternFill>
    </fill>
    <fill>
      <patternFill patternType="solid">
        <fgColor rgb="FFDCDDDE"/>
        <bgColor indexed="64"/>
      </patternFill>
    </fill>
    <fill>
      <patternFill patternType="solid">
        <fgColor rgb="FFFFE3A2"/>
        <bgColor indexed="64"/>
      </patternFill>
    </fill>
    <fill>
      <patternFill patternType="solid">
        <fgColor rgb="FFFAD7D3"/>
        <bgColor indexed="64"/>
      </patternFill>
    </fill>
    <fill>
      <patternFill patternType="solid">
        <fgColor rgb="FF648C1A"/>
        <bgColor indexed="64"/>
      </patternFill>
    </fill>
    <fill>
      <patternFill patternType="solid">
        <fgColor rgb="FFEDFFC4"/>
        <bgColor indexed="64"/>
      </patternFill>
    </fill>
    <fill>
      <patternFill patternType="solid">
        <fgColor rgb="FFC1EEFF"/>
        <bgColor indexed="64"/>
      </patternFill>
    </fill>
    <fill>
      <patternFill patternType="solid">
        <fgColor rgb="FF555759"/>
        <bgColor indexed="64"/>
      </patternFill>
    </fill>
    <fill>
      <patternFill patternType="solid">
        <fgColor rgb="FF95D600"/>
        <bgColor indexed="64"/>
      </patternFill>
    </fill>
    <fill>
      <patternFill patternType="solid">
        <fgColor rgb="FF006579"/>
        <bgColor indexed="64"/>
      </patternFill>
    </fill>
    <fill>
      <patternFill patternType="solid">
        <fgColor rgb="FF009383"/>
        <bgColor indexed="64"/>
      </patternFill>
    </fill>
    <fill>
      <patternFill patternType="solid">
        <fgColor rgb="FFF07D05"/>
        <bgColor indexed="64"/>
      </patternFill>
    </fill>
    <fill>
      <patternFill patternType="solid">
        <fgColor rgb="FFAC0640"/>
        <bgColor indexed="64"/>
      </patternFill>
    </fill>
    <fill>
      <patternFill patternType="solid">
        <fgColor rgb="FFEAF7CC"/>
        <bgColor indexed="64"/>
      </patternFill>
    </fill>
    <fill>
      <patternFill patternType="solid">
        <fgColor rgb="FFFAD8D5"/>
        <bgColor indexed="64"/>
      </patternFill>
    </fill>
    <fill>
      <patternFill patternType="solid">
        <fgColor rgb="FFFFF1D0"/>
        <bgColor indexed="64"/>
      </patternFill>
    </fill>
    <fill>
      <patternFill patternType="solid">
        <fgColor rgb="FFFEE4CB"/>
        <bgColor indexed="64"/>
      </patternFill>
    </fill>
    <fill>
      <patternFill patternType="solid">
        <fgColor rgb="FFF7E2FA"/>
        <bgColor indexed="64"/>
      </patternFill>
    </fill>
    <fill>
      <patternFill patternType="solid">
        <fgColor rgb="FFDDF2B8"/>
        <bgColor indexed="64"/>
      </patternFill>
    </fill>
    <fill>
      <patternFill patternType="solid">
        <fgColor rgb="FFCCEB8D"/>
        <bgColor indexed="64"/>
      </patternFill>
    </fill>
    <fill>
      <patternFill patternType="solid">
        <fgColor rgb="FFF2F2F2"/>
        <bgColor indexed="64"/>
      </patternFill>
    </fill>
    <fill>
      <patternFill patternType="solid">
        <fgColor rgb="FFFFFFFF"/>
        <bgColor indexed="64"/>
      </patternFill>
    </fill>
    <fill>
      <patternFill patternType="solid">
        <fgColor theme="0"/>
        <bgColor indexed="64"/>
      </patternFill>
    </fill>
    <fill>
      <patternFill patternType="solid">
        <fgColor rgb="FFFFFFFF"/>
        <bgColor rgb="FF000000"/>
      </patternFill>
    </fill>
    <fill>
      <patternFill patternType="solid">
        <fgColor rgb="FF00546E"/>
        <bgColor indexed="64"/>
      </patternFill>
    </fill>
    <fill>
      <patternFill patternType="solid">
        <fgColor rgb="FFF5A81C"/>
        <bgColor indexed="64"/>
      </patternFill>
    </fill>
    <fill>
      <patternFill patternType="solid">
        <fgColor theme="0" tint="-0.499984740745262"/>
        <bgColor indexed="64"/>
      </patternFill>
    </fill>
    <fill>
      <patternFill patternType="solid">
        <fgColor rgb="FFF7D379"/>
        <bgColor indexed="64"/>
      </patternFill>
    </fill>
    <fill>
      <patternFill patternType="solid">
        <fgColor rgb="FF00759A"/>
        <bgColor indexed="64"/>
      </patternFill>
    </fill>
    <fill>
      <patternFill patternType="solid">
        <fgColor theme="0" tint="-0.14999847407452621"/>
        <bgColor indexed="64"/>
      </patternFill>
    </fill>
  </fills>
  <borders count="4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95D600"/>
      </bottom>
      <diagonal/>
    </border>
    <border>
      <left/>
      <right/>
      <top/>
      <bottom style="medium">
        <color rgb="FF95D600"/>
      </bottom>
      <diagonal/>
    </border>
    <border>
      <left style="hair">
        <color rgb="FFB9BBBD"/>
      </left>
      <right style="hair">
        <color rgb="FFB9BBBD"/>
      </right>
      <top style="hair">
        <color rgb="FFB9BBBD"/>
      </top>
      <bottom style="hair">
        <color rgb="FFB9BBBD"/>
      </bottom>
      <diagonal/>
    </border>
    <border>
      <left style="hair">
        <color rgb="FFBBBCBD"/>
      </left>
      <right style="hair">
        <color rgb="FFBBBCBD"/>
      </right>
      <top style="hair">
        <color rgb="FFBBBCBD"/>
      </top>
      <bottom style="hair">
        <color rgb="FFBBBCBD"/>
      </bottom>
      <diagonal/>
    </border>
    <border>
      <left style="hair">
        <color rgb="FFBBBCBD"/>
      </left>
      <right style="hair">
        <color rgb="FFBBBCBD"/>
      </right>
      <top style="hair">
        <color rgb="FFBBBCBD"/>
      </top>
      <bottom style="thin">
        <color rgb="FF555759"/>
      </bottom>
      <diagonal/>
    </border>
    <border>
      <left/>
      <right/>
      <top/>
      <bottom style="hair">
        <color rgb="FF95D600"/>
      </bottom>
      <diagonal/>
    </border>
    <border>
      <left/>
      <right/>
      <top/>
      <bottom style="thin">
        <color rgb="FF95D600"/>
      </bottom>
      <diagonal/>
    </border>
    <border>
      <left/>
      <right/>
      <top/>
      <bottom style="hair">
        <color rgb="FFBBBCBD"/>
      </bottom>
      <diagonal/>
    </border>
    <border>
      <left/>
      <right/>
      <top style="thin">
        <color rgb="FF555759"/>
      </top>
      <bottom/>
      <diagonal/>
    </border>
    <border>
      <left style="hair">
        <color rgb="FFDCDDDE"/>
      </left>
      <right style="hair">
        <color rgb="FFDCDDDE"/>
      </right>
      <top style="hair">
        <color rgb="FFDCDDDE"/>
      </top>
      <bottom style="hair">
        <color rgb="FFDCDDDE"/>
      </bottom>
      <diagonal/>
    </border>
    <border>
      <left style="hair">
        <color rgb="FF006579"/>
      </left>
      <right style="hair">
        <color rgb="FF006579"/>
      </right>
      <top style="hair">
        <color rgb="FF006579"/>
      </top>
      <bottom style="hair">
        <color rgb="FF006579"/>
      </bottom>
      <diagonal/>
    </border>
    <border>
      <left/>
      <right/>
      <top style="thin">
        <color rgb="FF555759"/>
      </top>
      <bottom style="medium">
        <color rgb="FF555759"/>
      </bottom>
      <diagonal/>
    </border>
    <border>
      <left/>
      <right/>
      <top/>
      <bottom style="medium">
        <color indexed="33"/>
      </bottom>
      <diagonal/>
    </border>
    <border>
      <left/>
      <right/>
      <top/>
      <bottom style="thin">
        <color indexed="33"/>
      </bottom>
      <diagonal/>
    </border>
    <border>
      <left style="hair">
        <color indexed="43"/>
      </left>
      <right style="hair">
        <color indexed="43"/>
      </right>
      <top style="hair">
        <color indexed="43"/>
      </top>
      <bottom style="thin">
        <color indexed="34"/>
      </bottom>
      <diagonal/>
    </border>
    <border>
      <left style="hair">
        <color indexed="43"/>
      </left>
      <right style="hair">
        <color indexed="43"/>
      </right>
      <top style="hair">
        <color indexed="43"/>
      </top>
      <bottom style="hair">
        <color indexed="43"/>
      </bottom>
      <diagonal/>
    </border>
    <border>
      <left style="hair">
        <color rgb="FFB9BBBB"/>
      </left>
      <right style="hair">
        <color rgb="FFB9BBBB"/>
      </right>
      <top style="hair">
        <color rgb="FFB9BBBB"/>
      </top>
      <bottom style="hair">
        <color rgb="FFB9BBBB"/>
      </bottom>
      <diagonal/>
    </border>
    <border>
      <left style="hair">
        <color indexed="13"/>
      </left>
      <right style="hair">
        <color indexed="13"/>
      </right>
      <top style="hair">
        <color indexed="13"/>
      </top>
      <bottom style="hair">
        <color indexed="13"/>
      </bottom>
      <diagonal/>
    </border>
    <border>
      <left style="hair">
        <color rgb="FFD1D1D2"/>
      </left>
      <right style="hair">
        <color rgb="FFD1D1D2"/>
      </right>
      <top style="hair">
        <color rgb="FFD1D1D2"/>
      </top>
      <bottom style="hair">
        <color rgb="FFD1D1D2"/>
      </bottom>
      <diagonal/>
    </border>
    <border>
      <left style="hair">
        <color rgb="FFB9BBBD"/>
      </left>
      <right style="hair">
        <color rgb="FFB9BBBD"/>
      </right>
      <top/>
      <bottom style="hair">
        <color rgb="FFB9BBBD"/>
      </bottom>
      <diagonal/>
    </border>
    <border>
      <left/>
      <right/>
      <top/>
      <bottom style="thin">
        <color rgb="FF00546E"/>
      </bottom>
      <diagonal/>
    </border>
    <border>
      <left/>
      <right/>
      <top style="thin">
        <color rgb="FF00546E"/>
      </top>
      <bottom/>
      <diagonal/>
    </border>
    <border>
      <left/>
      <right style="thick">
        <color theme="0"/>
      </right>
      <top/>
      <bottom style="thick">
        <color theme="0"/>
      </bottom>
      <diagonal/>
    </border>
    <border>
      <left style="thick">
        <color theme="0"/>
      </left>
      <right/>
      <top/>
      <bottom style="thick">
        <color theme="0"/>
      </bottom>
      <diagonal/>
    </border>
    <border>
      <left/>
      <right/>
      <top/>
      <bottom style="thick">
        <color theme="0"/>
      </bottom>
      <diagonal/>
    </border>
    <border>
      <left/>
      <right style="thick">
        <color theme="0"/>
      </right>
      <top style="thick">
        <color theme="0"/>
      </top>
      <bottom/>
      <diagonal/>
    </border>
    <border>
      <left style="thick">
        <color theme="0"/>
      </left>
      <right/>
      <top style="thick">
        <color theme="0"/>
      </top>
      <bottom/>
      <diagonal/>
    </border>
    <border>
      <left style="thick">
        <color theme="0"/>
      </left>
      <right style="thick">
        <color theme="0"/>
      </right>
      <top style="thick">
        <color theme="0"/>
      </top>
      <bottom/>
      <diagonal/>
    </border>
    <border>
      <left/>
      <right/>
      <top style="thick">
        <color theme="0"/>
      </top>
      <bottom style="thick">
        <color theme="0"/>
      </bottom>
      <diagonal/>
    </border>
    <border>
      <left style="thick">
        <color theme="0"/>
      </left>
      <right style="thick">
        <color theme="0"/>
      </right>
      <top style="thick">
        <color theme="0"/>
      </top>
      <bottom style="thick">
        <color theme="0"/>
      </bottom>
      <diagonal/>
    </border>
    <border>
      <left/>
      <right/>
      <top/>
      <bottom style="thin">
        <color indexed="64"/>
      </bottom>
      <diagonal/>
    </border>
    <border>
      <left/>
      <right/>
      <top style="thin">
        <color indexed="64"/>
      </top>
      <bottom/>
      <diagonal/>
    </border>
    <border>
      <left style="hair">
        <color rgb="FFBBBCBD"/>
      </left>
      <right style="hair">
        <color rgb="FFBBBCBD"/>
      </right>
      <top style="hair">
        <color rgb="FFBBBCBD"/>
      </top>
      <bottom style="hair">
        <color rgb="FFB9BBBD"/>
      </bottom>
      <diagonal/>
    </border>
    <border>
      <left style="thick">
        <color theme="0"/>
      </left>
      <right/>
      <top style="thick">
        <color theme="0"/>
      </top>
      <bottom style="thick">
        <color theme="0"/>
      </bottom>
      <diagonal/>
    </border>
  </borders>
  <cellStyleXfs count="85">
    <xf numFmtId="0" fontId="0" fillId="0" borderId="0"/>
    <xf numFmtId="0" fontId="2" fillId="0" borderId="0" applyNumberFormat="0" applyFill="0" applyBorder="0" applyAlignment="0" applyProtection="0"/>
    <xf numFmtId="0" fontId="27" fillId="16" borderId="7" applyNumberFormat="0"/>
    <xf numFmtId="0" fontId="28" fillId="16" borderId="8" applyNumberFormat="0" applyAlignment="0"/>
    <xf numFmtId="0" fontId="30" fillId="16" borderId="8" applyNumberFormat="0" applyAlignment="0"/>
    <xf numFmtId="0" fontId="29" fillId="16" borderId="8" applyNumberFormat="0" applyAlignment="0"/>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5" borderId="1" applyNumberFormat="0" applyAlignment="0" applyProtection="0"/>
    <xf numFmtId="0" fontId="7" fillId="6" borderId="2" applyNumberFormat="0" applyAlignment="0" applyProtection="0"/>
    <xf numFmtId="0" fontId="8" fillId="6" borderId="1" applyNumberFormat="0" applyAlignment="0" applyProtection="0"/>
    <xf numFmtId="0" fontId="9" fillId="0" borderId="3" applyNumberFormat="0" applyFill="0" applyAlignment="0" applyProtection="0"/>
    <xf numFmtId="0" fontId="10" fillId="7" borderId="4" applyNumberFormat="0" applyAlignment="0" applyProtection="0"/>
    <xf numFmtId="0" fontId="11" fillId="0" borderId="0" applyNumberFormat="0" applyFill="0" applyBorder="0" applyAlignment="0" applyProtection="0"/>
    <xf numFmtId="0" fontId="1" fillId="8" borderId="5" applyNumberFormat="0" applyFont="0" applyAlignment="0" applyProtection="0"/>
    <xf numFmtId="0" fontId="12" fillId="0" borderId="0" applyNumberFormat="0" applyFill="0" applyBorder="0" applyAlignment="0" applyProtection="0"/>
    <xf numFmtId="0" fontId="13" fillId="0" borderId="6" applyNumberFormat="0" applyFill="0" applyAlignment="0" applyProtection="0"/>
    <xf numFmtId="0" fontId="16" fillId="0" borderId="0" applyNumberFormat="0" applyFill="0" applyBorder="0" applyAlignment="0">
      <alignment vertical="top"/>
    </xf>
    <xf numFmtId="0" fontId="15" fillId="9" borderId="9" applyNumberFormat="0" applyAlignment="0">
      <alignment vertical="top"/>
      <protection locked="0"/>
    </xf>
    <xf numFmtId="0" fontId="15" fillId="10" borderId="0" applyNumberFormat="0" applyBorder="0" applyAlignment="0">
      <alignment vertical="top"/>
      <protection locked="0"/>
    </xf>
    <xf numFmtId="0" fontId="15" fillId="11" borderId="9" applyNumberFormat="0" applyAlignment="0">
      <alignment vertical="top"/>
      <protection locked="0"/>
    </xf>
    <xf numFmtId="0" fontId="18" fillId="12" borderId="0" applyNumberFormat="0" applyBorder="0" applyAlignment="0">
      <alignment vertical="top"/>
    </xf>
    <xf numFmtId="0" fontId="20" fillId="0" borderId="0" applyNumberFormat="0" applyFill="0" applyBorder="0" applyAlignment="0"/>
    <xf numFmtId="0" fontId="21" fillId="0" borderId="0" applyNumberFormat="0" applyFill="0" applyBorder="0"/>
    <xf numFmtId="0" fontId="29" fillId="13" borderId="9" applyNumberFormat="0" applyAlignment="0">
      <alignment vertical="top"/>
    </xf>
    <xf numFmtId="0" fontId="15" fillId="0" borderId="9" applyNumberFormat="0" applyAlignment="0">
      <alignment vertical="top"/>
      <protection locked="0"/>
    </xf>
    <xf numFmtId="0" fontId="37" fillId="9" borderId="9" applyNumberFormat="0" applyAlignment="0">
      <alignment vertical="top"/>
      <protection locked="0"/>
    </xf>
    <xf numFmtId="0" fontId="23" fillId="0" borderId="0" applyNumberFormat="0" applyFill="0" applyBorder="0">
      <alignment horizontal="right"/>
    </xf>
    <xf numFmtId="0" fontId="25" fillId="0" borderId="0" applyNumberFormat="0" applyFill="0" applyBorder="0" applyAlignment="0">
      <alignment vertical="top"/>
    </xf>
    <xf numFmtId="0" fontId="24" fillId="0" borderId="0" applyNumberFormat="0" applyFill="0" applyBorder="0" applyAlignment="0">
      <alignment vertical="top"/>
    </xf>
    <xf numFmtId="0" fontId="26" fillId="0" borderId="11" applyNumberFormat="0" applyFill="0">
      <alignment vertical="center" wrapText="1"/>
    </xf>
    <xf numFmtId="0" fontId="27" fillId="16" borderId="7" applyNumberFormat="0"/>
    <xf numFmtId="0" fontId="15" fillId="0" borderId="9" applyNumberFormat="0" applyFill="0"/>
    <xf numFmtId="0" fontId="29" fillId="17" borderId="0" applyNumberFormat="0">
      <alignment vertical="center" wrapText="1"/>
    </xf>
    <xf numFmtId="0" fontId="15" fillId="0" borderId="12" applyNumberFormat="0"/>
    <xf numFmtId="0" fontId="29" fillId="16" borderId="8" applyNumberFormat="0">
      <alignment vertical="center" wrapText="1"/>
    </xf>
    <xf numFmtId="0" fontId="15" fillId="0" borderId="14" applyNumberFormat="0" applyFill="0"/>
    <xf numFmtId="0" fontId="30" fillId="16" borderId="8" applyNumberFormat="0"/>
    <xf numFmtId="0" fontId="28" fillId="16" borderId="8" applyNumberFormat="0"/>
    <xf numFmtId="0" fontId="31" fillId="13" borderId="0" applyNumberFormat="0" applyBorder="0" applyAlignment="0"/>
    <xf numFmtId="0" fontId="31" fillId="18" borderId="0" applyNumberFormat="0" applyBorder="0" applyAlignment="0"/>
    <xf numFmtId="0" fontId="31" fillId="19" borderId="0" applyNumberFormat="0" applyBorder="0" applyAlignment="0"/>
    <xf numFmtId="0" fontId="31" fillId="20" borderId="0" applyNumberFormat="0" applyBorder="0" applyAlignment="0"/>
    <xf numFmtId="0" fontId="31" fillId="21" borderId="0" applyNumberFormat="0" applyBorder="0" applyAlignment="0"/>
    <xf numFmtId="0" fontId="15" fillId="25" borderId="9" applyNumberFormat="0" applyAlignment="0">
      <alignment vertical="top"/>
    </xf>
    <xf numFmtId="0" fontId="22" fillId="0" borderId="15" applyNumberFormat="0" applyFill="0" applyAlignment="0">
      <alignment vertical="top"/>
    </xf>
    <xf numFmtId="0" fontId="18" fillId="23" borderId="0" applyNumberFormat="0" applyBorder="0" applyAlignment="0"/>
    <xf numFmtId="0" fontId="19" fillId="22" borderId="0" applyNumberFormat="0" applyBorder="0" applyAlignment="0" applyProtection="0"/>
    <xf numFmtId="0" fontId="33" fillId="9" borderId="0" applyNumberFormat="0" applyBorder="0" applyAlignment="0" applyProtection="0"/>
    <xf numFmtId="0" fontId="15" fillId="15" borderId="9" applyNumberFormat="0" applyAlignment="0"/>
    <xf numFmtId="0" fontId="34" fillId="0" borderId="17" applyNumberFormat="0" applyFill="0" applyAlignment="0"/>
    <xf numFmtId="0" fontId="16" fillId="0" borderId="0" applyNumberFormat="0" applyFill="0" applyBorder="0" applyAlignment="0"/>
    <xf numFmtId="0" fontId="15" fillId="24" borderId="9" applyNumberFormat="0" applyAlignment="0" applyProtection="0"/>
    <xf numFmtId="0" fontId="15" fillId="10" borderId="0" applyNumberFormat="0" applyAlignment="0"/>
    <xf numFmtId="0" fontId="16" fillId="0" borderId="0" applyNumberFormat="0" applyFill="0" applyAlignment="0"/>
    <xf numFmtId="0" fontId="15" fillId="14" borderId="16" applyNumberFormat="0" applyAlignment="0"/>
    <xf numFmtId="0" fontId="18" fillId="12" borderId="0" applyNumberFormat="0" applyBorder="0" applyAlignment="0"/>
    <xf numFmtId="0" fontId="14" fillId="0" borderId="0" applyNumberFormat="0" applyFill="0"/>
    <xf numFmtId="0" fontId="32" fillId="0" borderId="18" applyNumberFormat="0" applyFill="0" applyAlignment="0" applyProtection="0"/>
    <xf numFmtId="166" fontId="15" fillId="0" borderId="0" applyFill="0" applyBorder="0" applyAlignment="0" applyProtection="0"/>
    <xf numFmtId="167" fontId="15" fillId="0" borderId="0" applyFill="0" applyBorder="0" applyAlignment="0" applyProtection="0"/>
    <xf numFmtId="165" fontId="15" fillId="0" borderId="0" applyFill="0" applyBorder="0" applyAlignment="0" applyProtection="0"/>
    <xf numFmtId="164" fontId="15" fillId="0" borderId="0" applyFill="0" applyBorder="0" applyAlignment="0" applyProtection="0"/>
    <xf numFmtId="9" fontId="15" fillId="0" borderId="0" applyFill="0" applyBorder="0" applyAlignment="0" applyProtection="0"/>
    <xf numFmtId="0" fontId="31" fillId="17" borderId="0" applyNumberFormat="0" applyBorder="0" applyAlignment="0"/>
    <xf numFmtId="0" fontId="36" fillId="0" borderId="0" applyNumberFormat="0" applyFill="0" applyBorder="0" applyAlignment="0"/>
    <xf numFmtId="0" fontId="14" fillId="29" borderId="7" applyNumberFormat="0" applyAlignment="0"/>
    <xf numFmtId="0" fontId="17" fillId="29" borderId="8" applyNumberFormat="0" applyAlignment="0"/>
    <xf numFmtId="0" fontId="35" fillId="29" borderId="13" applyNumberFormat="0" applyAlignment="0"/>
    <xf numFmtId="0" fontId="15" fillId="14" borderId="10" applyNumberFormat="0" applyAlignment="0"/>
    <xf numFmtId="0" fontId="15" fillId="27" borderId="10" applyNumberFormat="0" applyAlignment="0"/>
    <xf numFmtId="0" fontId="15" fillId="28" borderId="10" applyNumberFormat="0" applyAlignment="0"/>
    <xf numFmtId="0" fontId="15" fillId="15" borderId="10" applyNumberFormat="0" applyAlignment="0"/>
    <xf numFmtId="0" fontId="15" fillId="26" borderId="10" applyNumberFormat="0" applyAlignment="0"/>
    <xf numFmtId="0" fontId="38" fillId="0" borderId="19" applyNumberFormat="0" applyFill="0" applyAlignment="0"/>
    <xf numFmtId="0" fontId="39" fillId="0" borderId="20" applyNumberFormat="0" applyFill="0" applyAlignment="0"/>
    <xf numFmtId="0" fontId="40" fillId="0" borderId="0" applyNumberFormat="0" applyFill="0" applyBorder="0">
      <alignment horizontal="right"/>
    </xf>
    <xf numFmtId="0" fontId="26" fillId="0" borderId="21" applyNumberFormat="0">
      <alignment wrapText="1"/>
    </xf>
    <xf numFmtId="0" fontId="15" fillId="0" borderId="22" applyNumberFormat="0" applyFont="0" applyAlignment="0"/>
    <xf numFmtId="0" fontId="15" fillId="30" borderId="24" applyNumberFormat="0" applyFont="0" applyAlignment="0"/>
    <xf numFmtId="0" fontId="42" fillId="0" borderId="0" applyNumberFormat="0" applyFill="0" applyBorder="0" applyAlignment="0"/>
    <xf numFmtId="0" fontId="15" fillId="30" borderId="24" applyNumberFormat="0" applyFont="0" applyAlignment="0"/>
    <xf numFmtId="0" fontId="15" fillId="0" borderId="24" applyNumberFormat="0" applyFont="0" applyFill="0" applyAlignment="0"/>
    <xf numFmtId="0" fontId="51" fillId="0" borderId="0"/>
  </cellStyleXfs>
  <cellXfs count="226">
    <xf numFmtId="0" fontId="0" fillId="0" borderId="0" xfId="0"/>
    <xf numFmtId="0" fontId="15" fillId="28" borderId="10" xfId="72"/>
    <xf numFmtId="0" fontId="0" fillId="0" borderId="0" xfId="0" applyBorder="1"/>
    <xf numFmtId="0" fontId="15" fillId="0" borderId="0" xfId="0" applyFont="1"/>
    <xf numFmtId="0" fontId="0" fillId="0" borderId="9" xfId="33" applyFont="1" applyAlignment="1">
      <alignment horizontal="center"/>
    </xf>
    <xf numFmtId="0" fontId="15" fillId="0" borderId="9" xfId="33" applyAlignment="1">
      <alignment horizontal="center"/>
    </xf>
    <xf numFmtId="0" fontId="15" fillId="0" borderId="9" xfId="33" applyFill="1"/>
    <xf numFmtId="0" fontId="0" fillId="0" borderId="0" xfId="0" applyFill="1" applyBorder="1"/>
    <xf numFmtId="0" fontId="23" fillId="0" borderId="0" xfId="28" applyFill="1" applyBorder="1">
      <alignment horizontal="right"/>
    </xf>
    <xf numFmtId="4" fontId="15" fillId="14" borderId="10" xfId="70" applyNumberFormat="1"/>
    <xf numFmtId="0" fontId="16" fillId="0" borderId="23" xfId="18" applyBorder="1" applyAlignment="1"/>
    <xf numFmtId="0" fontId="16" fillId="0" borderId="25" xfId="18" applyFill="1" applyBorder="1" applyAlignment="1"/>
    <xf numFmtId="4" fontId="15" fillId="28" borderId="10" xfId="72" applyNumberFormat="1"/>
    <xf numFmtId="4" fontId="15" fillId="26" borderId="10" xfId="74" applyNumberFormat="1"/>
    <xf numFmtId="4" fontId="15" fillId="15" borderId="10" xfId="73" applyNumberFormat="1"/>
    <xf numFmtId="4" fontId="15" fillId="27" borderId="10" xfId="71" applyNumberFormat="1"/>
    <xf numFmtId="0" fontId="15" fillId="27" borderId="9" xfId="33" applyFill="1"/>
    <xf numFmtId="4" fontId="15" fillId="0" borderId="9" xfId="33" applyNumberFormat="1"/>
    <xf numFmtId="3" fontId="15" fillId="0" borderId="9" xfId="33" applyNumberFormat="1"/>
    <xf numFmtId="4" fontId="15" fillId="14" borderId="9" xfId="33" applyNumberFormat="1" applyFill="1"/>
    <xf numFmtId="4" fontId="15" fillId="28" borderId="9" xfId="33" applyNumberFormat="1" applyFill="1"/>
    <xf numFmtId="4" fontId="15" fillId="26" borderId="9" xfId="33" applyNumberFormat="1" applyFill="1"/>
    <xf numFmtId="4" fontId="15" fillId="15" borderId="9" xfId="33" applyNumberFormat="1" applyFill="1"/>
    <xf numFmtId="4" fontId="15" fillId="27" borderId="9" xfId="33" applyNumberFormat="1" applyFill="1"/>
    <xf numFmtId="0" fontId="0" fillId="0" borderId="9" xfId="33" applyFont="1"/>
    <xf numFmtId="3" fontId="0" fillId="0" borderId="9" xfId="33" applyNumberFormat="1" applyFont="1" applyAlignment="1">
      <alignment horizontal="center"/>
    </xf>
    <xf numFmtId="4" fontId="37" fillId="9" borderId="9" xfId="27" applyNumberFormat="1" applyAlignment="1">
      <protection locked="0"/>
    </xf>
    <xf numFmtId="3" fontId="37" fillId="9" borderId="9" xfId="27" applyNumberFormat="1" applyAlignment="1">
      <protection locked="0"/>
    </xf>
    <xf numFmtId="0" fontId="0" fillId="0" borderId="0" xfId="0"/>
    <xf numFmtId="0" fontId="0" fillId="0" borderId="0" xfId="0"/>
    <xf numFmtId="0" fontId="15" fillId="0" borderId="9" xfId="33"/>
    <xf numFmtId="0" fontId="46" fillId="32" borderId="0" xfId="29" applyFont="1" applyFill="1" applyBorder="1" applyAlignment="1" applyProtection="1">
      <alignment vertical="center"/>
      <protection hidden="1"/>
    </xf>
    <xf numFmtId="0" fontId="0" fillId="31" borderId="0" xfId="0" applyFill="1"/>
    <xf numFmtId="0" fontId="48" fillId="31" borderId="0" xfId="0" applyFont="1" applyFill="1" applyAlignment="1" applyProtection="1">
      <alignment horizontal="right" vertical="center"/>
      <protection hidden="1"/>
    </xf>
    <xf numFmtId="0" fontId="0" fillId="31" borderId="0" xfId="0" applyFill="1" applyAlignment="1">
      <alignment vertical="center"/>
    </xf>
    <xf numFmtId="0" fontId="0" fillId="31" borderId="0" xfId="0" applyFill="1" applyAlignment="1" applyProtection="1">
      <alignment vertical="center"/>
      <protection hidden="1"/>
    </xf>
    <xf numFmtId="0" fontId="49" fillId="32" borderId="0" xfId="0" applyFont="1" applyFill="1"/>
    <xf numFmtId="0" fontId="50" fillId="32" borderId="0" xfId="0" applyFont="1" applyFill="1" applyAlignment="1" applyProtection="1">
      <alignment horizontal="right" vertical="center"/>
      <protection hidden="1"/>
    </xf>
    <xf numFmtId="0" fontId="49" fillId="32" borderId="0" xfId="0" applyFont="1" applyFill="1" applyAlignment="1">
      <alignment vertical="center"/>
    </xf>
    <xf numFmtId="0" fontId="49" fillId="32" borderId="0" xfId="0" applyFont="1" applyFill="1" applyAlignment="1" applyProtection="1">
      <alignment vertical="center"/>
      <protection hidden="1"/>
    </xf>
    <xf numFmtId="0" fontId="51" fillId="31" borderId="0" xfId="84" applyFill="1" applyAlignment="1">
      <alignment vertical="top" wrapText="1"/>
    </xf>
    <xf numFmtId="0" fontId="54" fillId="31" borderId="0" xfId="84" applyFont="1" applyFill="1" applyAlignment="1">
      <alignment horizontal="left" vertical="top" wrapText="1"/>
    </xf>
    <xf numFmtId="0" fontId="55" fillId="31" borderId="27" xfId="0" applyFont="1" applyFill="1" applyBorder="1" applyAlignment="1" applyProtection="1">
      <alignment vertical="center"/>
      <protection hidden="1"/>
    </xf>
    <xf numFmtId="0" fontId="56" fillId="31" borderId="27" xfId="0" applyFont="1" applyFill="1" applyBorder="1" applyAlignment="1" applyProtection="1">
      <alignment vertical="center"/>
      <protection hidden="1"/>
    </xf>
    <xf numFmtId="0" fontId="59" fillId="31" borderId="0" xfId="0" applyFont="1" applyFill="1" applyAlignment="1">
      <alignment horizontal="left" vertical="top" wrapText="1"/>
    </xf>
    <xf numFmtId="0" fontId="60" fillId="31" borderId="27" xfId="0" applyFont="1" applyFill="1" applyBorder="1" applyAlignment="1" applyProtection="1">
      <alignment vertical="center"/>
      <protection hidden="1"/>
    </xf>
    <xf numFmtId="0" fontId="0" fillId="31" borderId="0" xfId="0" applyFill="1" applyAlignment="1">
      <alignment horizontal="left" vertical="top" wrapText="1"/>
    </xf>
    <xf numFmtId="0" fontId="57" fillId="33" borderId="0" xfId="0" applyFont="1" applyFill="1" applyAlignment="1" applyProtection="1">
      <alignment horizontal="left" vertical="center"/>
      <protection hidden="1"/>
    </xf>
    <xf numFmtId="0" fontId="62" fillId="33" borderId="29" xfId="0" applyFont="1" applyFill="1" applyBorder="1" applyAlignment="1">
      <alignment horizontal="center" vertical="center"/>
    </xf>
    <xf numFmtId="0" fontId="57" fillId="33" borderId="32" xfId="0" quotePrefix="1" applyFont="1" applyFill="1" applyBorder="1" applyAlignment="1">
      <alignment horizontal="center" vertical="center"/>
    </xf>
    <xf numFmtId="0" fontId="62" fillId="33" borderId="32" xfId="0" quotePrefix="1" applyFont="1" applyFill="1" applyBorder="1" applyAlignment="1">
      <alignment horizontal="center" vertical="center"/>
    </xf>
    <xf numFmtId="0" fontId="51" fillId="31" borderId="28" xfId="84" applyFill="1" applyBorder="1" applyAlignment="1">
      <alignment vertical="top" wrapText="1"/>
    </xf>
    <xf numFmtId="0" fontId="66" fillId="31" borderId="0" xfId="0" applyFont="1" applyFill="1" applyAlignment="1" applyProtection="1">
      <alignment vertical="center"/>
      <protection hidden="1"/>
    </xf>
    <xf numFmtId="0" fontId="51" fillId="31" borderId="27" xfId="84" applyFill="1" applyBorder="1"/>
    <xf numFmtId="0" fontId="67" fillId="33" borderId="0" xfId="0" applyFont="1" applyFill="1" applyAlignment="1" applyProtection="1">
      <alignment vertical="center"/>
      <protection hidden="1"/>
    </xf>
    <xf numFmtId="0" fontId="68" fillId="33" borderId="0" xfId="84" applyFont="1" applyFill="1" applyAlignment="1">
      <alignment vertical="top" wrapText="1"/>
    </xf>
    <xf numFmtId="0" fontId="69" fillId="31" borderId="0" xfId="0" applyFont="1" applyFill="1"/>
    <xf numFmtId="0" fontId="55" fillId="31" borderId="0" xfId="0" applyFont="1" applyFill="1" applyAlignment="1" applyProtection="1">
      <alignment vertical="center"/>
      <protection hidden="1"/>
    </xf>
    <xf numFmtId="0" fontId="56" fillId="31" borderId="0" xfId="0" applyFont="1" applyFill="1" applyAlignment="1" applyProtection="1">
      <alignment vertical="center"/>
      <protection hidden="1"/>
    </xf>
    <xf numFmtId="0" fontId="70" fillId="31" borderId="0" xfId="0" applyFont="1" applyFill="1" applyAlignment="1">
      <alignment vertical="center" wrapText="1"/>
    </xf>
    <xf numFmtId="0" fontId="71" fillId="31" borderId="0" xfId="0" applyFont="1" applyFill="1" applyAlignment="1">
      <alignment vertical="center"/>
    </xf>
    <xf numFmtId="0" fontId="58" fillId="31" borderId="0" xfId="0" applyFont="1" applyFill="1" applyAlignment="1">
      <alignment vertical="center" wrapText="1"/>
    </xf>
    <xf numFmtId="0" fontId="59" fillId="31" borderId="0" xfId="0" applyFont="1" applyFill="1" applyAlignment="1">
      <alignment vertical="center"/>
    </xf>
    <xf numFmtId="0" fontId="59" fillId="31" borderId="0" xfId="0" applyFont="1" applyFill="1"/>
    <xf numFmtId="0" fontId="55" fillId="33" borderId="0" xfId="0" applyFont="1" applyFill="1" applyAlignment="1" applyProtection="1">
      <alignment vertical="center"/>
      <protection hidden="1"/>
    </xf>
    <xf numFmtId="0" fontId="59" fillId="33" borderId="0" xfId="0" applyFont="1" applyFill="1" applyAlignment="1">
      <alignment horizontal="left" vertical="top" wrapText="1"/>
    </xf>
    <xf numFmtId="0" fontId="0" fillId="33" borderId="0" xfId="0" applyFill="1"/>
    <xf numFmtId="0" fontId="70" fillId="33" borderId="0" xfId="0" applyFont="1" applyFill="1" applyAlignment="1">
      <alignment horizontal="center" vertical="top"/>
    </xf>
    <xf numFmtId="0" fontId="73" fillId="33" borderId="0" xfId="0" applyFont="1" applyFill="1"/>
    <xf numFmtId="0" fontId="47" fillId="32" borderId="0" xfId="0" applyFont="1" applyFill="1" applyAlignment="1" applyProtection="1">
      <alignment vertical="center" wrapText="1"/>
      <protection hidden="1"/>
    </xf>
    <xf numFmtId="0" fontId="67" fillId="37" borderId="0" xfId="0" applyFont="1" applyFill="1" applyAlignment="1" applyProtection="1">
      <alignment vertical="center"/>
      <protection hidden="1"/>
    </xf>
    <xf numFmtId="0" fontId="68" fillId="37" borderId="0" xfId="84" applyFont="1" applyFill="1" applyAlignment="1">
      <alignment vertical="top" wrapText="1"/>
    </xf>
    <xf numFmtId="0" fontId="44" fillId="0" borderId="0" xfId="84" applyFont="1" applyFill="1" applyAlignment="1">
      <alignment vertical="top" wrapText="1"/>
    </xf>
    <xf numFmtId="0" fontId="45" fillId="0" borderId="0" xfId="84" applyFont="1" applyFill="1" applyAlignment="1">
      <alignment vertical="top"/>
    </xf>
    <xf numFmtId="0" fontId="45" fillId="0" borderId="0" xfId="84" applyFont="1" applyFill="1" applyAlignment="1">
      <alignment vertical="top" wrapText="1"/>
    </xf>
    <xf numFmtId="0" fontId="68" fillId="0" borderId="0" xfId="84" applyFont="1" applyFill="1" applyAlignment="1">
      <alignment vertical="top" wrapText="1"/>
    </xf>
    <xf numFmtId="0" fontId="78" fillId="0" borderId="0" xfId="84" applyFont="1" applyFill="1" applyAlignment="1">
      <alignment vertical="top"/>
    </xf>
    <xf numFmtId="0" fontId="79" fillId="0" borderId="0" xfId="84" applyFont="1" applyFill="1" applyAlignment="1">
      <alignment vertical="top" wrapText="1"/>
    </xf>
    <xf numFmtId="0" fontId="78" fillId="0" borderId="0" xfId="84" applyFont="1" applyFill="1" applyAlignment="1">
      <alignment vertical="top" wrapText="1"/>
    </xf>
    <xf numFmtId="0" fontId="79" fillId="0" borderId="0" xfId="84" applyFont="1" applyFill="1" applyAlignment="1">
      <alignment vertical="top"/>
    </xf>
    <xf numFmtId="0" fontId="79" fillId="0" borderId="0" xfId="84" applyFont="1" applyFill="1" applyAlignment="1">
      <alignment horizontal="left" vertical="top" indent="2"/>
    </xf>
    <xf numFmtId="0" fontId="80" fillId="0" borderId="0" xfId="29" applyFont="1" applyFill="1" applyAlignment="1">
      <alignment vertical="top" wrapText="1"/>
    </xf>
    <xf numFmtId="0" fontId="79" fillId="0" borderId="0" xfId="84" applyFont="1" applyFill="1" applyAlignment="1">
      <alignment horizontal="left" vertical="top" wrapText="1" indent="2"/>
    </xf>
    <xf numFmtId="0" fontId="78" fillId="0" borderId="0" xfId="0" applyFont="1" applyFill="1" applyAlignment="1" applyProtection="1">
      <alignment vertical="center"/>
      <protection hidden="1"/>
    </xf>
    <xf numFmtId="0" fontId="79" fillId="0" borderId="0" xfId="84" applyFont="1" applyFill="1" applyAlignment="1">
      <alignment horizontal="left" vertical="top"/>
    </xf>
    <xf numFmtId="0" fontId="78" fillId="0" borderId="0" xfId="84" applyFont="1" applyFill="1" applyAlignment="1">
      <alignment horizontal="left" vertical="top"/>
    </xf>
    <xf numFmtId="0" fontId="81" fillId="0" borderId="0" xfId="84" applyFont="1" applyFill="1" applyAlignment="1">
      <alignment vertical="top" wrapText="1"/>
    </xf>
    <xf numFmtId="0" fontId="23" fillId="0" borderId="0" xfId="28" applyFill="1" applyAlignment="1">
      <alignment horizontal="left"/>
    </xf>
    <xf numFmtId="0" fontId="15" fillId="25" borderId="9" xfId="45" applyAlignment="1">
      <alignment vertical="top" wrapText="1"/>
    </xf>
    <xf numFmtId="0" fontId="44" fillId="0" borderId="0" xfId="84" applyFont="1" applyFill="1" applyBorder="1" applyAlignment="1">
      <alignment vertical="top" wrapText="1"/>
    </xf>
    <xf numFmtId="0" fontId="15" fillId="0" borderId="0" xfId="33" applyBorder="1"/>
    <xf numFmtId="0" fontId="79" fillId="0" borderId="0" xfId="84" applyFont="1" applyFill="1" applyBorder="1" applyAlignment="1">
      <alignment vertical="top" wrapText="1"/>
    </xf>
    <xf numFmtId="0" fontId="79" fillId="0" borderId="0" xfId="84" applyFont="1" applyFill="1" applyBorder="1" applyAlignment="1">
      <alignment vertical="top"/>
    </xf>
    <xf numFmtId="0" fontId="79" fillId="0" borderId="0" xfId="0" applyFont="1" applyFill="1" applyBorder="1"/>
    <xf numFmtId="0" fontId="79" fillId="0" borderId="0" xfId="0" applyFont="1" applyFill="1" applyBorder="1" applyAlignment="1">
      <alignment vertical="center"/>
    </xf>
    <xf numFmtId="0" fontId="15" fillId="0" borderId="0" xfId="0" applyFont="1" applyFill="1" applyBorder="1"/>
    <xf numFmtId="0" fontId="26" fillId="0" borderId="0" xfId="0" applyFont="1" applyFill="1" applyBorder="1"/>
    <xf numFmtId="0" fontId="26" fillId="0" borderId="0" xfId="0" applyFont="1" applyFill="1" applyBorder="1" applyAlignment="1">
      <alignment horizontal="center"/>
    </xf>
    <xf numFmtId="0" fontId="0" fillId="0" borderId="0" xfId="0" applyFill="1" applyBorder="1" applyAlignment="1">
      <alignment horizontal="center"/>
    </xf>
    <xf numFmtId="0" fontId="74" fillId="0" borderId="0" xfId="0" applyFont="1" applyFill="1" applyBorder="1" applyAlignment="1">
      <alignment horizontal="left" indent="2"/>
    </xf>
    <xf numFmtId="0" fontId="77" fillId="0" borderId="0" xfId="0" applyFont="1" applyFill="1" applyBorder="1"/>
    <xf numFmtId="0" fontId="0" fillId="31" borderId="0" xfId="0" applyFill="1" applyBorder="1"/>
    <xf numFmtId="0" fontId="82" fillId="33" borderId="0" xfId="84" applyFont="1" applyFill="1" applyAlignment="1">
      <alignment vertical="top" wrapText="1"/>
    </xf>
    <xf numFmtId="0" fontId="83" fillId="33" borderId="0" xfId="33" applyFont="1" applyFill="1" applyBorder="1"/>
    <xf numFmtId="0" fontId="82" fillId="33" borderId="0" xfId="84" applyFont="1" applyFill="1" applyBorder="1" applyAlignment="1">
      <alignment vertical="top" wrapText="1"/>
    </xf>
    <xf numFmtId="0" fontId="83" fillId="33" borderId="0" xfId="45" applyFont="1" applyFill="1" applyBorder="1" applyAlignment="1">
      <alignment vertical="top" wrapText="1"/>
    </xf>
    <xf numFmtId="0" fontId="82" fillId="0" borderId="0" xfId="84" applyFont="1" applyFill="1" applyAlignment="1">
      <alignment vertical="top" wrapText="1"/>
    </xf>
    <xf numFmtId="0" fontId="84" fillId="33" borderId="0" xfId="84" applyFont="1" applyFill="1" applyAlignment="1">
      <alignment vertical="top"/>
    </xf>
    <xf numFmtId="3" fontId="37" fillId="9" borderId="26" xfId="27" applyNumberFormat="1" applyBorder="1" applyAlignment="1">
      <protection locked="0"/>
    </xf>
    <xf numFmtId="0" fontId="23" fillId="0" borderId="0" xfId="28" applyFill="1" applyBorder="1" applyAlignment="1">
      <alignment horizontal="left"/>
    </xf>
    <xf numFmtId="0" fontId="86" fillId="0" borderId="0" xfId="84" applyFont="1" applyFill="1" applyAlignment="1">
      <alignment vertical="top" wrapText="1"/>
    </xf>
    <xf numFmtId="0" fontId="28" fillId="33" borderId="0" xfId="36" applyFont="1" applyFill="1" applyBorder="1" applyAlignment="1">
      <alignment horizontal="center" vertical="center" wrapText="1"/>
    </xf>
    <xf numFmtId="0" fontId="87" fillId="31" borderId="0" xfId="0" applyFont="1" applyFill="1" applyAlignment="1">
      <alignment vertical="center"/>
    </xf>
    <xf numFmtId="0" fontId="44" fillId="0" borderId="0" xfId="84" applyFont="1" applyFill="1" applyAlignment="1">
      <alignment vertical="center" wrapText="1"/>
    </xf>
    <xf numFmtId="0" fontId="44" fillId="36" borderId="36" xfId="84" applyFont="1" applyFill="1" applyBorder="1" applyAlignment="1">
      <alignment horizontal="center" vertical="center" wrapText="1"/>
    </xf>
    <xf numFmtId="0" fontId="44" fillId="0" borderId="0" xfId="84" applyFont="1" applyFill="1" applyAlignment="1">
      <alignment horizontal="center" vertical="center" wrapText="1"/>
    </xf>
    <xf numFmtId="0" fontId="57" fillId="33" borderId="36" xfId="84" applyFont="1" applyFill="1" applyBorder="1" applyAlignment="1">
      <alignment horizontal="left" vertical="center" indent="3"/>
    </xf>
    <xf numFmtId="0" fontId="57" fillId="33" borderId="36" xfId="84" applyFont="1" applyFill="1" applyBorder="1" applyAlignment="1">
      <alignment horizontal="left" vertical="center" wrapText="1" indent="3"/>
    </xf>
    <xf numFmtId="0" fontId="31" fillId="18" borderId="0" xfId="41" applyBorder="1" applyAlignment="1">
      <alignment vertical="top" wrapText="1"/>
    </xf>
    <xf numFmtId="4" fontId="79" fillId="0" borderId="0" xfId="0" applyNumberFormat="1" applyFont="1" applyFill="1" applyBorder="1" applyAlignment="1">
      <alignment vertical="center"/>
    </xf>
    <xf numFmtId="3" fontId="79" fillId="0" borderId="0" xfId="0" applyNumberFormat="1" applyFont="1" applyFill="1" applyBorder="1"/>
    <xf numFmtId="3" fontId="15" fillId="14" borderId="10" xfId="70" applyNumberFormat="1" applyAlignment="1">
      <alignment vertical="center"/>
    </xf>
    <xf numFmtId="4" fontId="15" fillId="14" borderId="10" xfId="70" applyNumberFormat="1" applyAlignment="1">
      <alignment vertical="center"/>
    </xf>
    <xf numFmtId="0" fontId="15" fillId="28" borderId="10" xfId="72" applyAlignment="1">
      <alignment vertical="center"/>
    </xf>
    <xf numFmtId="0" fontId="47" fillId="31" borderId="0" xfId="0" applyFont="1" applyFill="1" applyAlignment="1" applyProtection="1">
      <alignment vertical="center" wrapText="1"/>
      <protection hidden="1"/>
    </xf>
    <xf numFmtId="4" fontId="15" fillId="26" borderId="10" xfId="74" applyNumberFormat="1" applyAlignment="1">
      <alignment vertical="center" wrapText="1"/>
    </xf>
    <xf numFmtId="4" fontId="15" fillId="0" borderId="9" xfId="33" applyNumberFormat="1" applyFill="1"/>
    <xf numFmtId="4" fontId="0" fillId="0" borderId="9" xfId="33" applyNumberFormat="1" applyFont="1" applyAlignment="1">
      <alignment horizontal="center"/>
    </xf>
    <xf numFmtId="4" fontId="15" fillId="15" borderId="10" xfId="73" applyNumberFormat="1" applyAlignment="1">
      <alignment vertical="center"/>
    </xf>
    <xf numFmtId="4" fontId="79" fillId="0" borderId="0" xfId="0" applyNumberFormat="1" applyFont="1" applyFill="1" applyBorder="1"/>
    <xf numFmtId="4" fontId="0" fillId="31" borderId="0" xfId="0" applyNumberFormat="1" applyFill="1"/>
    <xf numFmtId="3" fontId="15" fillId="0" borderId="9" xfId="33" applyNumberFormat="1" applyFill="1"/>
    <xf numFmtId="3" fontId="15" fillId="27" borderId="10" xfId="71" applyNumberFormat="1"/>
    <xf numFmtId="3" fontId="0" fillId="31" borderId="0" xfId="0" applyNumberFormat="1" applyFill="1"/>
    <xf numFmtId="0" fontId="88" fillId="0" borderId="0" xfId="84" applyFont="1" applyFill="1" applyAlignment="1">
      <alignment vertical="center"/>
    </xf>
    <xf numFmtId="0" fontId="93" fillId="0" borderId="0" xfId="29" applyFont="1" applyFill="1" applyAlignment="1">
      <alignment vertical="top"/>
    </xf>
    <xf numFmtId="0" fontId="94" fillId="0" borderId="0" xfId="84" applyFont="1" applyFill="1" applyAlignment="1">
      <alignment vertical="top"/>
    </xf>
    <xf numFmtId="9" fontId="23" fillId="0" borderId="0" xfId="28" applyNumberFormat="1" applyFill="1" applyBorder="1">
      <alignment horizontal="right"/>
    </xf>
    <xf numFmtId="0" fontId="15" fillId="31" borderId="0" xfId="0" applyFont="1" applyFill="1" applyBorder="1" applyAlignment="1">
      <alignment vertical="center"/>
    </xf>
    <xf numFmtId="0" fontId="15" fillId="31" borderId="0" xfId="0" applyFont="1" applyFill="1" applyBorder="1"/>
    <xf numFmtId="0" fontId="26" fillId="31" borderId="0" xfId="0" applyFont="1" applyFill="1" applyBorder="1" applyAlignment="1">
      <alignment horizontal="center"/>
    </xf>
    <xf numFmtId="0" fontId="0" fillId="31" borderId="0" xfId="0" applyFill="1" applyBorder="1" applyAlignment="1">
      <alignment horizontal="center"/>
    </xf>
    <xf numFmtId="3" fontId="0" fillId="38" borderId="0" xfId="0" applyNumberFormat="1" applyFont="1" applyFill="1" applyBorder="1" applyAlignment="1">
      <alignment horizontal="center" vertical="center"/>
    </xf>
    <xf numFmtId="9" fontId="15" fillId="38" borderId="0" xfId="64" applyFill="1" applyBorder="1" applyAlignment="1">
      <alignment horizontal="center" vertical="center"/>
    </xf>
    <xf numFmtId="4" fontId="0" fillId="38" borderId="0" xfId="0" applyNumberFormat="1" applyFont="1" applyFill="1" applyBorder="1" applyAlignment="1">
      <alignment horizontal="center" vertical="center"/>
    </xf>
    <xf numFmtId="0" fontId="47" fillId="31" borderId="0" xfId="0" applyFont="1" applyFill="1" applyAlignment="1" applyProtection="1">
      <alignment vertical="center"/>
      <protection hidden="1"/>
    </xf>
    <xf numFmtId="0" fontId="96" fillId="0" borderId="0" xfId="84" applyFont="1" applyFill="1" applyAlignment="1">
      <alignment vertical="top"/>
    </xf>
    <xf numFmtId="0" fontId="0" fillId="31" borderId="37" xfId="0" applyFill="1" applyBorder="1"/>
    <xf numFmtId="0" fontId="26" fillId="31" borderId="0" xfId="0" applyFont="1" applyFill="1"/>
    <xf numFmtId="0" fontId="74" fillId="33" borderId="0" xfId="0" applyFont="1" applyFill="1" applyBorder="1" applyAlignment="1">
      <alignment horizontal="center" vertical="center"/>
    </xf>
    <xf numFmtId="0" fontId="97" fillId="0" borderId="0" xfId="84" applyFont="1" applyFill="1" applyAlignment="1">
      <alignment vertical="top"/>
    </xf>
    <xf numFmtId="0" fontId="96" fillId="0" borderId="0" xfId="84" applyFont="1" applyFill="1" applyAlignment="1">
      <alignment vertical="top" wrapText="1"/>
    </xf>
    <xf numFmtId="0" fontId="85" fillId="31" borderId="0" xfId="0" applyFont="1" applyFill="1" applyBorder="1"/>
    <xf numFmtId="0" fontId="76" fillId="31" borderId="0" xfId="0" applyFont="1" applyFill="1" applyBorder="1"/>
    <xf numFmtId="0" fontId="70" fillId="33" borderId="0" xfId="0" applyFont="1" applyFill="1" applyAlignment="1">
      <alignment horizontal="center" vertical="top"/>
    </xf>
    <xf numFmtId="0" fontId="26" fillId="31" borderId="0" xfId="0" applyFont="1" applyFill="1" applyAlignment="1">
      <alignment vertical="center"/>
    </xf>
    <xf numFmtId="0" fontId="15" fillId="31" borderId="9" xfId="33" applyFill="1"/>
    <xf numFmtId="0" fontId="15" fillId="0" borderId="0" xfId="33" applyFill="1" applyBorder="1"/>
    <xf numFmtId="0" fontId="15" fillId="0" borderId="0" xfId="72" applyFill="1" applyBorder="1"/>
    <xf numFmtId="4" fontId="15" fillId="0" borderId="0" xfId="70" applyNumberFormat="1" applyFill="1" applyBorder="1"/>
    <xf numFmtId="0" fontId="0" fillId="0" borderId="0" xfId="33" applyFont="1" applyFill="1" applyBorder="1" applyAlignment="1">
      <alignment horizontal="center"/>
    </xf>
    <xf numFmtId="4" fontId="15" fillId="15" borderId="39" xfId="73" applyNumberFormat="1" applyBorder="1" applyAlignment="1">
      <alignment horizontal="center" vertical="center" wrapText="1"/>
    </xf>
    <xf numFmtId="4" fontId="15" fillId="25" borderId="9" xfId="45" applyNumberFormat="1" applyAlignment="1">
      <alignment vertical="top" wrapText="1"/>
    </xf>
    <xf numFmtId="2" fontId="15" fillId="14" borderId="10" xfId="70" applyNumberFormat="1" applyAlignment="1">
      <alignment horizontal="center" vertical="center"/>
    </xf>
    <xf numFmtId="2" fontId="15" fillId="26" borderId="10" xfId="74" applyNumberFormat="1" applyAlignment="1">
      <alignment horizontal="center"/>
    </xf>
    <xf numFmtId="0" fontId="99" fillId="0" borderId="10" xfId="41" applyFont="1" applyFill="1" applyBorder="1" applyAlignment="1">
      <alignment horizontal="center" vertical="center" wrapText="1"/>
    </xf>
    <xf numFmtId="0" fontId="57" fillId="33" borderId="0" xfId="0" applyFont="1" applyFill="1"/>
    <xf numFmtId="0" fontId="75" fillId="33" borderId="0" xfId="29" applyFont="1" applyFill="1" applyAlignment="1"/>
    <xf numFmtId="0" fontId="102" fillId="0" borderId="0" xfId="84" applyFont="1" applyAlignment="1">
      <alignment vertical="top" wrapText="1"/>
    </xf>
    <xf numFmtId="0" fontId="45" fillId="0" borderId="0" xfId="0" applyFont="1" applyAlignment="1">
      <alignment horizontal="right" vertical="center"/>
    </xf>
    <xf numFmtId="0" fontId="103" fillId="31" borderId="27" xfId="84" applyFont="1" applyFill="1" applyBorder="1" applyAlignment="1">
      <alignment horizontal="right" vertical="center"/>
    </xf>
    <xf numFmtId="0" fontId="104" fillId="31" borderId="27" xfId="84" applyFont="1" applyFill="1" applyBorder="1" applyAlignment="1">
      <alignment horizontal="right" vertical="center"/>
    </xf>
    <xf numFmtId="0" fontId="105" fillId="31" borderId="27" xfId="84" applyFont="1" applyFill="1" applyBorder="1"/>
    <xf numFmtId="0" fontId="44" fillId="0" borderId="0" xfId="84" applyFont="1" applyFill="1" applyAlignment="1">
      <alignment horizontal="left" vertical="top" wrapText="1"/>
    </xf>
    <xf numFmtId="0" fontId="81" fillId="0" borderId="0" xfId="84" applyFont="1" applyFill="1" applyAlignment="1">
      <alignment vertical="center" wrapText="1"/>
    </xf>
    <xf numFmtId="0" fontId="57" fillId="33" borderId="32" xfId="0" quotePrefix="1" applyFont="1" applyFill="1" applyBorder="1" applyAlignment="1">
      <alignment horizontal="center" vertical="center"/>
    </xf>
    <xf numFmtId="0" fontId="57" fillId="33" borderId="0" xfId="0" applyFont="1" applyFill="1" applyAlignment="1">
      <alignment horizontal="left"/>
    </xf>
    <xf numFmtId="0" fontId="57" fillId="33" borderId="28" xfId="0" applyFont="1" applyFill="1" applyBorder="1" applyAlignment="1" applyProtection="1">
      <alignment horizontal="left" vertical="center" wrapText="1"/>
      <protection hidden="1"/>
    </xf>
    <xf numFmtId="0" fontId="57" fillId="33" borderId="28" xfId="0" applyFont="1" applyFill="1" applyBorder="1" applyAlignment="1" applyProtection="1">
      <alignment horizontal="left" vertical="center"/>
      <protection hidden="1"/>
    </xf>
    <xf numFmtId="0" fontId="61" fillId="33" borderId="0" xfId="29" applyFont="1" applyFill="1" applyBorder="1" applyAlignment="1" applyProtection="1">
      <alignment horizontal="left" vertical="center" wrapText="1" indent="2"/>
      <protection hidden="1"/>
    </xf>
    <xf numFmtId="0" fontId="62" fillId="33" borderId="30" xfId="0" applyFont="1" applyFill="1" applyBorder="1" applyAlignment="1">
      <alignment horizontal="center" vertical="center"/>
    </xf>
    <xf numFmtId="0" fontId="62" fillId="33" borderId="29" xfId="0" applyFont="1" applyFill="1" applyBorder="1" applyAlignment="1">
      <alignment horizontal="center" vertical="center"/>
    </xf>
    <xf numFmtId="0" fontId="62" fillId="33" borderId="31" xfId="0" applyFont="1" applyFill="1" applyBorder="1" applyAlignment="1">
      <alignment horizontal="center" vertical="center"/>
    </xf>
    <xf numFmtId="168" fontId="57" fillId="33" borderId="33" xfId="0" quotePrefix="1" applyNumberFormat="1" applyFont="1" applyFill="1" applyBorder="1" applyAlignment="1">
      <alignment horizontal="center" vertical="center"/>
    </xf>
    <xf numFmtId="168" fontId="57" fillId="33" borderId="32" xfId="0" quotePrefix="1" applyNumberFormat="1" applyFont="1" applyFill="1" applyBorder="1" applyAlignment="1">
      <alignment horizontal="center" vertical="center"/>
    </xf>
    <xf numFmtId="0" fontId="57" fillId="33" borderId="34" xfId="0" applyFont="1" applyFill="1" applyBorder="1" applyAlignment="1">
      <alignment horizontal="left" vertical="center" indent="2"/>
    </xf>
    <xf numFmtId="0" fontId="57" fillId="33" borderId="33" xfId="0" applyFont="1" applyFill="1" applyBorder="1" applyAlignment="1">
      <alignment horizontal="left" vertical="center" indent="2"/>
    </xf>
    <xf numFmtId="0" fontId="47" fillId="32" borderId="0" xfId="0" applyFont="1" applyFill="1" applyAlignment="1" applyProtection="1">
      <alignment horizontal="left" vertical="center" wrapText="1"/>
      <protection hidden="1"/>
    </xf>
    <xf numFmtId="0" fontId="52" fillId="31" borderId="0" xfId="84" applyFont="1" applyFill="1" applyAlignment="1">
      <alignment horizontal="left" vertical="top" wrapText="1"/>
    </xf>
    <xf numFmtId="0" fontId="57" fillId="33" borderId="28" xfId="0" applyFont="1" applyFill="1" applyBorder="1" applyAlignment="1">
      <alignment horizontal="left" vertical="center" wrapText="1"/>
    </xf>
    <xf numFmtId="0" fontId="58" fillId="33" borderId="28" xfId="0" applyFont="1" applyFill="1" applyBorder="1" applyAlignment="1">
      <alignment horizontal="left" vertical="center" wrapText="1"/>
    </xf>
    <xf numFmtId="0" fontId="58" fillId="33" borderId="0" xfId="0" applyFont="1" applyFill="1" applyAlignment="1">
      <alignment horizontal="left" vertical="center" wrapText="1"/>
    </xf>
    <xf numFmtId="0" fontId="57" fillId="33" borderId="0" xfId="0" applyFont="1" applyFill="1" applyAlignment="1">
      <alignment horizontal="left" vertical="center" wrapText="1"/>
    </xf>
    <xf numFmtId="0" fontId="57" fillId="33" borderId="0" xfId="0" applyFont="1" applyFill="1" applyBorder="1" applyAlignment="1">
      <alignment horizontal="left" vertical="center" wrapText="1"/>
    </xf>
    <xf numFmtId="0" fontId="55" fillId="31" borderId="27" xfId="0" applyFont="1" applyFill="1" applyBorder="1" applyAlignment="1" applyProtection="1">
      <alignment horizontal="left" vertical="center" wrapText="1"/>
      <protection hidden="1"/>
    </xf>
    <xf numFmtId="0" fontId="57" fillId="33" borderId="30" xfId="0" applyFont="1" applyFill="1" applyBorder="1" applyAlignment="1">
      <alignment horizontal="left" vertical="center" indent="2"/>
    </xf>
    <xf numFmtId="0" fontId="57" fillId="33" borderId="31" xfId="0" applyFont="1" applyFill="1" applyBorder="1" applyAlignment="1">
      <alignment horizontal="left" vertical="center" indent="2"/>
    </xf>
    <xf numFmtId="0" fontId="57" fillId="33" borderId="40" xfId="0" applyFont="1" applyFill="1" applyBorder="1" applyAlignment="1">
      <alignment horizontal="left" vertical="center" indent="2"/>
    </xf>
    <xf numFmtId="0" fontId="57" fillId="33" borderId="35" xfId="0" applyFont="1" applyFill="1" applyBorder="1" applyAlignment="1">
      <alignment horizontal="left" vertical="center" indent="2"/>
    </xf>
    <xf numFmtId="0" fontId="57" fillId="33" borderId="33" xfId="0" quotePrefix="1" applyFont="1" applyFill="1" applyBorder="1" applyAlignment="1">
      <alignment horizontal="center" vertical="center"/>
    </xf>
    <xf numFmtId="0" fontId="57" fillId="33" borderId="32" xfId="0" quotePrefix="1" applyFont="1" applyFill="1" applyBorder="1" applyAlignment="1">
      <alignment horizontal="center" vertical="center"/>
    </xf>
    <xf numFmtId="0" fontId="47" fillId="31" borderId="0" xfId="0" applyFont="1" applyFill="1" applyBorder="1" applyAlignment="1" applyProtection="1">
      <alignment horizontal="left" vertical="center" wrapText="1"/>
      <protection hidden="1"/>
    </xf>
    <xf numFmtId="0" fontId="70" fillId="33" borderId="0" xfId="0" applyFont="1" applyFill="1" applyAlignment="1">
      <alignment horizontal="center" vertical="top"/>
    </xf>
    <xf numFmtId="0" fontId="73" fillId="33" borderId="0" xfId="0" applyFont="1" applyFill="1" applyAlignment="1">
      <alignment horizontal="left" vertical="top" wrapText="1"/>
    </xf>
    <xf numFmtId="0" fontId="70" fillId="34" borderId="0" xfId="0" applyFont="1" applyFill="1" applyAlignment="1">
      <alignment horizontal="center" vertical="center" wrapText="1"/>
    </xf>
    <xf numFmtId="0" fontId="70" fillId="33" borderId="0" xfId="0" applyFont="1" applyFill="1" applyAlignment="1">
      <alignment horizontal="center" vertical="center" wrapText="1"/>
    </xf>
    <xf numFmtId="0" fontId="70" fillId="35" borderId="0" xfId="0" applyFont="1" applyFill="1" applyAlignment="1">
      <alignment horizontal="center" vertical="center" wrapText="1"/>
    </xf>
    <xf numFmtId="0" fontId="58" fillId="34" borderId="0" xfId="0" applyFont="1" applyFill="1" applyAlignment="1">
      <alignment horizontal="center" vertical="center" wrapText="1"/>
    </xf>
    <xf numFmtId="0" fontId="58" fillId="33" borderId="0" xfId="0" applyFont="1" applyFill="1" applyAlignment="1">
      <alignment horizontal="center" vertical="center" wrapText="1"/>
    </xf>
    <xf numFmtId="0" fontId="58" fillId="35" borderId="0" xfId="0" applyFont="1" applyFill="1" applyAlignment="1">
      <alignment horizontal="center" vertical="center" wrapText="1"/>
    </xf>
    <xf numFmtId="0" fontId="72" fillId="35" borderId="0" xfId="29" applyFont="1" applyFill="1" applyBorder="1" applyAlignment="1">
      <alignment horizontal="center" vertical="center" wrapText="1"/>
    </xf>
    <xf numFmtId="0" fontId="73" fillId="0" borderId="0" xfId="0" applyFont="1" applyAlignment="1"/>
    <xf numFmtId="3" fontId="45" fillId="0" borderId="0" xfId="84" applyNumberFormat="1" applyFont="1" applyFill="1" applyAlignment="1">
      <alignment horizontal="left" vertical="center" wrapText="1"/>
    </xf>
    <xf numFmtId="0" fontId="47" fillId="31" borderId="0" xfId="0" applyFont="1" applyFill="1" applyAlignment="1" applyProtection="1">
      <alignment horizontal="left" vertical="center" wrapText="1"/>
      <protection hidden="1"/>
    </xf>
    <xf numFmtId="0" fontId="98" fillId="0" borderId="0" xfId="84" applyFont="1" applyFill="1" applyAlignment="1">
      <alignment horizontal="left" vertical="top"/>
    </xf>
    <xf numFmtId="0" fontId="45" fillId="0" borderId="0" xfId="84" applyFont="1" applyFill="1" applyAlignment="1">
      <alignment vertical="top" wrapText="1"/>
    </xf>
    <xf numFmtId="0" fontId="98" fillId="0" borderId="0" xfId="84" applyFont="1" applyFill="1" applyAlignment="1">
      <alignment horizontal="left" vertical="top" wrapText="1"/>
    </xf>
    <xf numFmtId="0" fontId="44" fillId="0" borderId="0" xfId="84" applyFont="1" applyFill="1" applyAlignment="1">
      <alignment horizontal="left" vertical="top" wrapText="1"/>
    </xf>
    <xf numFmtId="0" fontId="46" fillId="0" borderId="0" xfId="29" applyFont="1" applyFill="1" applyAlignment="1">
      <alignment horizontal="center" vertical="top" wrapText="1"/>
    </xf>
    <xf numFmtId="0" fontId="0" fillId="0" borderId="0" xfId="0" applyAlignment="1">
      <alignment vertical="top" wrapText="1"/>
    </xf>
    <xf numFmtId="0" fontId="85" fillId="0" borderId="0" xfId="84" applyFont="1" applyFill="1" applyAlignment="1">
      <alignment horizontal="left" vertical="top" wrapText="1"/>
    </xf>
    <xf numFmtId="0" fontId="0" fillId="0" borderId="0" xfId="0" applyAlignment="1">
      <alignment wrapText="1"/>
    </xf>
    <xf numFmtId="0" fontId="79" fillId="0" borderId="0" xfId="84" applyFont="1" applyFill="1" applyAlignment="1">
      <alignment horizontal="left" vertical="top" wrapText="1"/>
    </xf>
    <xf numFmtId="0" fontId="47" fillId="31" borderId="38" xfId="0" applyFont="1" applyFill="1" applyBorder="1" applyAlignment="1" applyProtection="1">
      <alignment horizontal="left" vertical="center" wrapText="1"/>
      <protection hidden="1"/>
    </xf>
    <xf numFmtId="0" fontId="44" fillId="36" borderId="36" xfId="84" applyFont="1" applyFill="1" applyBorder="1" applyAlignment="1" applyProtection="1">
      <alignment horizontal="center" vertical="center" wrapText="1"/>
      <protection locked="0"/>
    </xf>
    <xf numFmtId="3" fontId="44" fillId="36" borderId="36" xfId="84" applyNumberFormat="1" applyFont="1" applyFill="1" applyBorder="1" applyAlignment="1" applyProtection="1">
      <alignment horizontal="center" vertical="center" wrapText="1"/>
      <protection locked="0"/>
    </xf>
  </cellXfs>
  <cellStyles count="85">
    <cellStyle name="Bad" xfId="7" builtinId="27" hidden="1"/>
    <cellStyle name="Bad" xfId="47" builtinId="27" customBuiltin="1"/>
    <cellStyle name="Calculation" xfId="11" builtinId="22" hidden="1"/>
    <cellStyle name="Calculation" xfId="50" builtinId="22" customBuiltin="1"/>
    <cellStyle name="Check Cell" xfId="13" builtinId="23" hidden="1"/>
    <cellStyle name="Check Cell" xfId="51" builtinId="23" customBuiltin="1"/>
    <cellStyle name="Comma" xfId="60" builtinId="3" customBuiltin="1"/>
    <cellStyle name="Comma [0]" xfId="61" builtinId="6" customBuiltin="1"/>
    <cellStyle name="Currency" xfId="62" builtinId="4" customBuiltin="1"/>
    <cellStyle name="Currency [0]" xfId="63" builtinId="7" customBuiltin="1"/>
    <cellStyle name="E_Calculation0" xfId="83" xr:uid="{7E002F70-C1D0-420C-AB83-2B0AA4CB0F1B}"/>
    <cellStyle name="E_Calculation1" xfId="80" xr:uid="{560C834F-90E7-45B1-86EC-FB48F4ED642B}"/>
    <cellStyle name="E_Calculation2" xfId="82" xr:uid="{E88CBD7C-F79C-479F-BB63-EC88FA80BADF}"/>
    <cellStyle name="E_Comment" xfId="81" xr:uid="{41E268E9-FD60-4E60-B5AF-89E8D6C950A4}"/>
    <cellStyle name="E_RangeName" xfId="77" xr:uid="{A7CC8511-82CE-454C-AFAC-50D49AFD0614}"/>
    <cellStyle name="E_SecTitle1" xfId="75" xr:uid="{21867F10-D780-4646-AC21-B246CFE68587}"/>
    <cellStyle name="E_SecTitle2" xfId="76" xr:uid="{159F944A-99D6-48CD-A547-B07080DA925D}"/>
    <cellStyle name="E_TableCell0" xfId="79" xr:uid="{260CEA0F-082B-45DA-A196-65F339DB52C1}"/>
    <cellStyle name="E_TableHeader0" xfId="78" xr:uid="{D25681C8-D24A-46A7-8D4A-C7C7E82301C8}"/>
    <cellStyle name="Explanatory Text" xfId="16" builtinId="53" hidden="1"/>
    <cellStyle name="Explanatory Text" xfId="52" builtinId="53" customBuiltin="1"/>
    <cellStyle name="Followed Hyperlink" xfId="30" builtinId="9" customBuiltin="1"/>
    <cellStyle name="Good" xfId="6" builtinId="26" hidden="1"/>
    <cellStyle name="Good" xfId="48"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29" builtinId="8" customBuiltin="1"/>
    <cellStyle name="Input" xfId="9" builtinId="20" hidden="1"/>
    <cellStyle name="Input" xfId="53" builtinId="20" customBuiltin="1"/>
    <cellStyle name="Linked Cell" xfId="12" builtinId="24" hidden="1"/>
    <cellStyle name="Linked Cell" xfId="54" builtinId="24" customBuiltin="1"/>
    <cellStyle name="N_Accent07" xfId="65" xr:uid="{00000000-0005-0000-0000-000030000000}"/>
    <cellStyle name="N_Accent08" xfId="40" xr:uid="{00000000-0005-0000-0000-000031000000}"/>
    <cellStyle name="N_Accent09" xfId="41" xr:uid="{00000000-0005-0000-0000-000032000000}"/>
    <cellStyle name="N_Accent10" xfId="42" xr:uid="{00000000-0005-0000-0000-000033000000}"/>
    <cellStyle name="N_Accent11" xfId="43" xr:uid="{00000000-0005-0000-0000-000034000000}"/>
    <cellStyle name="N_Accent12" xfId="44" xr:uid="{00000000-0005-0000-0000-000035000000}"/>
    <cellStyle name="N_Calc1" xfId="70" xr:uid="{00000000-0005-0000-0000-000036000000}"/>
    <cellStyle name="N_Calc2" xfId="71" xr:uid="{00000000-0005-0000-0000-000037000000}"/>
    <cellStyle name="N_Calc3" xfId="72" xr:uid="{00000000-0005-0000-0000-000038000000}"/>
    <cellStyle name="N_Calc4" xfId="73" xr:uid="{00000000-0005-0000-0000-000039000000}"/>
    <cellStyle name="N_Calc5" xfId="74" xr:uid="{00000000-0005-0000-0000-00003A000000}"/>
    <cellStyle name="N_CalcSum" xfId="25" xr:uid="{00000000-0005-0000-0000-00003B000000}"/>
    <cellStyle name="N_Check" xfId="23" xr:uid="{00000000-0005-0000-0000-00003C000000}"/>
    <cellStyle name="N_Comment" xfId="18" xr:uid="{00000000-0005-0000-0000-00003D000000}"/>
    <cellStyle name="N_Dark_H1" xfId="32" xr:uid="{00000000-0005-0000-0000-00003E000000}"/>
    <cellStyle name="N_Dark_H2" xfId="39" xr:uid="{00000000-0005-0000-0000-00003F000000}"/>
    <cellStyle name="N_Dark_H3" xfId="38" xr:uid="{00000000-0005-0000-0000-000040000000}"/>
    <cellStyle name="N_Footer" xfId="46" xr:uid="{00000000-0005-0000-0000-000041000000}"/>
    <cellStyle name="N_Input" xfId="19" xr:uid="{00000000-0005-0000-0000-000042000000}"/>
    <cellStyle name="N_InputCalc" xfId="27" xr:uid="{00000000-0005-0000-0000-000043000000}"/>
    <cellStyle name="N_InputFixed" xfId="45" xr:uid="{00000000-0005-0000-0000-000044000000}"/>
    <cellStyle name="N_InputList" xfId="21" xr:uid="{00000000-0005-0000-0000-000045000000}"/>
    <cellStyle name="N_InputWhite" xfId="26" xr:uid="{00000000-0005-0000-0000-000046000000}"/>
    <cellStyle name="N_Light_H1" xfId="67" xr:uid="{00000000-0005-0000-0000-000047000000}"/>
    <cellStyle name="N_Light_H2" xfId="68" xr:uid="{00000000-0005-0000-0000-000048000000}"/>
    <cellStyle name="N_Light_H3" xfId="69" xr:uid="{00000000-0005-0000-0000-000049000000}"/>
    <cellStyle name="N_RangeName" xfId="28" xr:uid="{00000000-0005-0000-0000-00004A000000}"/>
    <cellStyle name="N_Source" xfId="24" xr:uid="{00000000-0005-0000-0000-00004B000000}"/>
    <cellStyle name="N_Table0_Cell" xfId="33" xr:uid="{00000000-0005-0000-0000-00004C000000}"/>
    <cellStyle name="N_Table0_Header" xfId="31" xr:uid="{00000000-0005-0000-0000-00004D000000}"/>
    <cellStyle name="N_Table1_Cell" xfId="37" xr:uid="{00000000-0005-0000-0000-00004E000000}"/>
    <cellStyle name="N_Table1_Header" xfId="36" xr:uid="{00000000-0005-0000-0000-00004F000000}"/>
    <cellStyle name="N_Table2_Cell" xfId="35" xr:uid="{00000000-0005-0000-0000-000050000000}"/>
    <cellStyle name="N_Table2_Header" xfId="34" xr:uid="{00000000-0005-0000-0000-000051000000}"/>
    <cellStyle name="N_VBALink" xfId="20" xr:uid="{00000000-0005-0000-0000-000052000000}"/>
    <cellStyle name="N_Warning" xfId="22" xr:uid="{00000000-0005-0000-0000-000053000000}"/>
    <cellStyle name="Neutral" xfId="8" builtinId="28" hidden="1"/>
    <cellStyle name="Neutral" xfId="49" builtinId="28" customBuiltin="1"/>
    <cellStyle name="Normal" xfId="0" builtinId="0" customBuiltin="1"/>
    <cellStyle name="Normal 13" xfId="84" xr:uid="{3E968099-5D16-461F-A731-42FB31768B1F}"/>
    <cellStyle name="Note" xfId="15" builtinId="10" hidden="1"/>
    <cellStyle name="Note" xfId="55" builtinId="10" customBuiltin="1"/>
    <cellStyle name="NRes_RepTitle" xfId="66" xr:uid="{00000000-0005-0000-0000-000059000000}"/>
    <cellStyle name="Output" xfId="10" builtinId="21" hidden="1"/>
    <cellStyle name="Output" xfId="56" builtinId="21" customBuiltin="1"/>
    <cellStyle name="Percent" xfId="64" builtinId="5" customBuiltin="1"/>
    <cellStyle name="Title" xfId="1" builtinId="15" hidden="1"/>
    <cellStyle name="Title" xfId="58" builtinId="15" customBuiltin="1"/>
    <cellStyle name="Total" xfId="17" builtinId="25" hidden="1"/>
    <cellStyle name="Total" xfId="59" builtinId="25" customBuiltin="1"/>
    <cellStyle name="Warning Text" xfId="14" builtinId="11" hidden="1"/>
    <cellStyle name="Warning Text" xfId="57" builtinId="11" customBuiltin="1"/>
  </cellStyles>
  <dxfs count="11">
    <dxf>
      <font>
        <color theme="0" tint="-0.24994659260841701"/>
      </font>
      <fill>
        <patternFill>
          <bgColor theme="0" tint="-0.24994659260841701"/>
        </patternFill>
      </fill>
    </dxf>
    <dxf>
      <font>
        <b/>
        <i val="0"/>
        <color rgb="FFFFFFFF"/>
      </font>
      <fill>
        <patternFill>
          <bgColor rgb="FF95D600"/>
        </patternFill>
      </fill>
    </dxf>
    <dxf>
      <border>
        <top style="thin">
          <color rgb="FF95D600"/>
        </top>
        <bottom style="thin">
          <color rgb="FF95D600"/>
        </bottom>
        <horizontal style="thin">
          <color rgb="FF95D600"/>
        </horizontal>
      </border>
    </dxf>
    <dxf>
      <fill>
        <patternFill patternType="solid">
          <bgColor rgb="FFEFF9DB"/>
        </patternFill>
      </fill>
    </dxf>
    <dxf>
      <font>
        <b/>
        <i val="0"/>
        <color rgb="FFFFFFFF"/>
      </font>
      <fill>
        <patternFill>
          <bgColor rgb="FF95D600"/>
        </patternFill>
      </fill>
    </dxf>
    <dxf>
      <border>
        <top style="thin">
          <color rgb="FF95D600"/>
        </top>
        <bottom style="thin">
          <color rgb="FF95D600"/>
        </bottom>
        <horizontal style="thin">
          <color rgb="FF95D600"/>
        </horizontal>
      </border>
    </dxf>
    <dxf>
      <font>
        <b/>
        <i val="0"/>
        <color rgb="FFFFFFFF"/>
      </font>
      <fill>
        <patternFill>
          <bgColor rgb="FF555759"/>
        </patternFill>
      </fill>
      <border>
        <bottom style="medium">
          <color rgb="FF95D600"/>
        </bottom>
      </border>
    </dxf>
    <dxf>
      <border>
        <top style="thin">
          <color rgb="FFDCDDDE"/>
        </top>
        <bottom style="thin">
          <color rgb="FFDCDDDE"/>
        </bottom>
        <horizontal style="thin">
          <color rgb="FFDCDDDE"/>
        </horizontal>
      </border>
    </dxf>
    <dxf>
      <fill>
        <patternFill>
          <bgColor rgb="FFF2F2F2"/>
        </patternFill>
      </fill>
    </dxf>
    <dxf>
      <font>
        <b/>
        <i val="0"/>
        <color rgb="FFFFFFFF"/>
      </font>
      <fill>
        <patternFill>
          <bgColor rgb="FF555759"/>
        </patternFill>
      </fill>
      <border>
        <bottom style="medium">
          <color rgb="FF95D600"/>
        </bottom>
      </border>
    </dxf>
    <dxf>
      <border>
        <top style="thin">
          <color rgb="FFDCDDDE"/>
        </top>
        <bottom style="thin">
          <color rgb="FFDCDDDE"/>
        </bottom>
        <horizontal style="thin">
          <color rgb="FFDCDDDE"/>
        </horizontal>
      </border>
    </dxf>
  </dxfs>
  <tableStyles count="4" defaultTableStyle="TableStyleMedium2" defaultPivotStyle="PivotStyleLight16">
    <tableStyle name="Navigant_01" pivot="0" count="3" xr9:uid="{00000000-0011-0000-FFFF-FFFF00000000}">
      <tableStyleElement type="wholeTable" dxfId="10"/>
      <tableStyleElement type="headerRow" dxfId="9"/>
      <tableStyleElement type="secondRowStripe" dxfId="8"/>
    </tableStyle>
    <tableStyle name="Navigant_02" pivot="0" count="2" xr9:uid="{00000000-0011-0000-FFFF-FFFF01000000}">
      <tableStyleElement type="wholeTable" dxfId="7"/>
      <tableStyleElement type="headerRow" dxfId="6"/>
    </tableStyle>
    <tableStyle name="Navigant_03" pivot="0" count="3" xr9:uid="{00000000-0011-0000-FFFF-FFFF02000000}">
      <tableStyleElement type="wholeTable" dxfId="5"/>
      <tableStyleElement type="headerRow" dxfId="4"/>
      <tableStyleElement type="secondRowStripe" dxfId="3"/>
    </tableStyle>
    <tableStyle name="Navigant_04" pivot="0" count="2" xr9:uid="{00000000-0011-0000-FFFF-FFFF03000000}">
      <tableStyleElement type="wholeTable" dxfId="2"/>
      <tableStyleElement type="headerRow" dxfId="1"/>
    </tableStyle>
  </tableStyles>
  <colors>
    <mruColors>
      <color rgb="FF00546E"/>
      <color rgb="FF0563C1"/>
      <color rgb="FF000000"/>
      <color rgb="FFF7D379"/>
      <color rgb="FFD9D9D9"/>
      <color rgb="FF00759A"/>
      <color rgb="FF555759"/>
      <color rgb="FFB9BBBD"/>
      <color rgb="FFA2A4A4"/>
      <color rgb="FFFFD4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1">
                <a:solidFill>
                  <a:srgbClr val="00546E"/>
                </a:solidFill>
              </a:rPr>
              <a:t>Target year</a:t>
            </a:r>
            <a:r>
              <a:rPr lang="en-US" b="1" baseline="0">
                <a:solidFill>
                  <a:srgbClr val="00546E"/>
                </a:solidFill>
              </a:rPr>
              <a:t> Absolute Emissions</a:t>
            </a:r>
            <a:endParaRPr lang="en-US" b="1">
              <a:solidFill>
                <a:srgbClr val="00546E"/>
              </a:solidFill>
            </a:endParaRPr>
          </a:p>
        </c:rich>
      </c:tx>
      <c:overlay val="0"/>
    </c:title>
    <c:autoTitleDeleted val="0"/>
    <c:plotArea>
      <c:layout/>
      <c:lineChart>
        <c:grouping val="standard"/>
        <c:varyColors val="0"/>
        <c:ser>
          <c:idx val="0"/>
          <c:order val="0"/>
          <c:tx>
            <c:v>Absolute Emissions Trajectory</c:v>
          </c:tx>
          <c:spPr>
            <a:ln>
              <a:solidFill>
                <a:srgbClr val="00546E"/>
              </a:solidFill>
            </a:ln>
          </c:spPr>
          <c:marker>
            <c:symbol val="none"/>
          </c:marker>
          <c:cat>
            <c:numRef>
              <c:f>Calc!$H$28:$AP$28</c:f>
              <c:numCache>
                <c:formatCode>General</c:formatCode>
                <c:ptCount val="35"/>
                <c:pt idx="0">
                  <c:v>#N/A</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numCache>
            </c:numRef>
          </c:cat>
          <c:val>
            <c:numRef>
              <c:f>Calc!$H$34:$AP$34</c:f>
              <c:numCache>
                <c:formatCode>#,##0</c:formatCode>
                <c:ptCount val="35"/>
                <c:pt idx="0">
                  <c:v>#N/A</c:v>
                </c:pt>
                <c:pt idx="1">
                  <c:v>280800</c:v>
                </c:pt>
                <c:pt idx="2">
                  <c:v>275173.15676319401</c:v>
                </c:pt>
                <c:pt idx="3">
                  <c:v>268982.5677135904</c:v>
                </c:pt>
                <c:pt idx="4">
                  <c:v>262228.2534187329</c:v>
                </c:pt>
                <c:pt idx="5">
                  <c:v>254910.23489754545</c:v>
                </c:pt>
                <c:pt idx="6">
                  <c:v>247028.53363028393</c:v>
                </c:pt>
                <c:pt idx="7">
                  <c:v>238583.1715686172</c:v>
                </c:pt>
                <c:pt idx="8">
                  <c:v>229574.17114601165</c:v>
                </c:pt>
                <c:pt idx="9">
                  <c:v>220001.55528827061</c:v>
                </c:pt>
                <c:pt idx="10">
                  <c:v>210669.9576164246</c:v>
                </c:pt>
                <c:pt idx="11">
                  <c:v>200688.54496067064</c:v>
                </c:pt>
                <c:pt idx="12">
                  <c:v>190057.34178967078</c:v>
                </c:pt>
                <c:pt idx="13">
                  <c:v>178776.37310911331</c:v>
                </c:pt>
                <c:pt idx="14">
                  <c:v>166845.66447349335</c:v>
                </c:pt>
                <c:pt idx="15">
                  <c:v>156979.50710787179</c:v>
                </c:pt>
                <c:pt idx="16">
                  <c:v>146766.98987356032</c:v>
                </c:pt>
                <c:pt idx="17">
                  <c:v>136208.14004480813</c:v>
                </c:pt>
                <c:pt idx="18">
                  <c:v>125302.9854944598</c:v>
                </c:pt>
                <c:pt idx="19">
                  <c:v>114051.55470710677</c:v>
                </c:pt>
                <c:pt idx="20">
                  <c:v>105563.02047690214</c:v>
                </c:pt>
                <c:pt idx="21">
                  <c:v>96788.642404830898</c:v>
                </c:pt>
                <c:pt idx="22">
                  <c:v>87728.45089241871</c:v>
                </c:pt>
                <c:pt idx="23">
                  <c:v>78382.477008422371</c:v>
                </c:pt>
                <c:pt idx="24">
                  <c:v>68750.75250347273</c:v>
                </c:pt>
                <c:pt idx="25">
                  <c:v>61542.702943603421</c:v>
                </c:pt>
                <c:pt idx="26">
                  <c:v>54103.555734089889</c:v>
                </c:pt>
                <c:pt idx="27">
                  <c:v>46433.344762305598</c:v>
                </c:pt>
                <c:pt idx="28">
                  <c:v>38532.10465936418</c:v>
                </c:pt>
                <c:pt idx="29">
                  <c:v>30399.870816432762</c:v>
                </c:pt>
                <c:pt idx="30">
                  <c:v>25421.017894540782</c:v>
                </c:pt>
                <c:pt idx="31">
                  <c:v>20289.836977774299</c:v>
                </c:pt>
                <c:pt idx="32">
                  <c:v>15006.365839045222</c:v>
                </c:pt>
                <c:pt idx="33">
                  <c:v>9570.6430802795112</c:v>
                </c:pt>
                <c:pt idx="34">
                  <c:v>3982.7081506120103</c:v>
                </c:pt>
              </c:numCache>
            </c:numRef>
          </c:val>
          <c:smooth val="0"/>
          <c:extLst>
            <c:ext xmlns:c16="http://schemas.microsoft.com/office/drawing/2014/chart" uri="{C3380CC4-5D6E-409C-BE32-E72D297353CC}">
              <c16:uniqueId val="{00000000-808D-4F4D-9590-492FEF72C443}"/>
            </c:ext>
          </c:extLst>
        </c:ser>
        <c:dLbls>
          <c:showLegendKey val="0"/>
          <c:showVal val="0"/>
          <c:showCatName val="0"/>
          <c:showSerName val="0"/>
          <c:showPercent val="0"/>
          <c:showBubbleSize val="0"/>
        </c:dLbls>
        <c:marker val="1"/>
        <c:smooth val="0"/>
        <c:axId val="1357263375"/>
        <c:axId val="1019955327"/>
      </c:lineChart>
      <c:scatterChart>
        <c:scatterStyle val="lineMarker"/>
        <c:varyColors val="0"/>
        <c:ser>
          <c:idx val="1"/>
          <c:order val="1"/>
          <c:tx>
            <c:v>Absolute Emissions at Target Year</c:v>
          </c:tx>
          <c:spPr>
            <a:ln w="19050">
              <a:noFill/>
            </a:ln>
          </c:spPr>
          <c:marker>
            <c:symbol val="diamond"/>
            <c:size val="9"/>
            <c:spPr>
              <a:solidFill>
                <a:srgbClr val="FFFF00"/>
              </a:solidFill>
              <a:ln w="34925">
                <a:solidFill>
                  <a:srgbClr val="FFC000"/>
                </a:solidFill>
              </a:ln>
            </c:spPr>
          </c:marker>
          <c:dLbls>
            <c:spPr>
              <a:solidFill>
                <a:sysClr val="window" lastClr="FFFFFF"/>
              </a:solidFill>
              <a:ln>
                <a:solidFill>
                  <a:srgbClr val="555759">
                    <a:lumMod val="65000"/>
                    <a:lumOff val="35000"/>
                  </a:srgbClr>
                </a:solidFill>
              </a:ln>
              <a:effectLst/>
            </c:sp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0"/>
              </c:ext>
            </c:extLst>
          </c:dLbls>
          <c:xVal>
            <c:numRef>
              <c:f>Calc!$H$28:$AP$28</c:f>
              <c:numCache>
                <c:formatCode>General</c:formatCode>
                <c:ptCount val="35"/>
                <c:pt idx="0">
                  <c:v>#N/A</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numCache>
            </c:numRef>
          </c:xVal>
          <c:yVal>
            <c:numRef>
              <c:f>Calc!$H$35:$AP$35</c:f>
              <c:numCache>
                <c:formatCode>#,##0.00</c:formatCode>
                <c:ptCount val="3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166845.66447349335</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numCache>
            </c:numRef>
          </c:yVal>
          <c:smooth val="0"/>
          <c:extLst>
            <c:ext xmlns:c16="http://schemas.microsoft.com/office/drawing/2014/chart" uri="{C3380CC4-5D6E-409C-BE32-E72D297353CC}">
              <c16:uniqueId val="{00000001-808D-4F4D-9590-492FEF72C443}"/>
            </c:ext>
          </c:extLst>
        </c:ser>
        <c:dLbls>
          <c:showLegendKey val="0"/>
          <c:showVal val="0"/>
          <c:showCatName val="0"/>
          <c:showSerName val="0"/>
          <c:showPercent val="0"/>
          <c:showBubbleSize val="0"/>
        </c:dLbls>
        <c:axId val="1357263375"/>
        <c:axId val="1019955327"/>
      </c:scatterChart>
      <c:dateAx>
        <c:axId val="1357263375"/>
        <c:scaling>
          <c:orientation val="minMax"/>
        </c:scaling>
        <c:delete val="0"/>
        <c:axPos val="b"/>
        <c:majorGridlines/>
        <c:title>
          <c:tx>
            <c:rich>
              <a:bodyPr/>
              <a:lstStyle/>
              <a:p>
                <a:pPr>
                  <a:defRPr/>
                </a:pPr>
                <a:r>
                  <a:rPr lang="en-US" b="1">
                    <a:solidFill>
                      <a:sysClr val="windowText" lastClr="000000"/>
                    </a:solidFill>
                  </a:rPr>
                  <a:t>Year</a:t>
                </a:r>
              </a:p>
            </c:rich>
          </c:tx>
          <c:overlay val="0"/>
        </c:title>
        <c:numFmt formatCode="General" sourceLinked="1"/>
        <c:majorTickMark val="none"/>
        <c:minorTickMark val="none"/>
        <c:tickLblPos val="nextTo"/>
        <c:spPr>
          <a:ln>
            <a:solidFill>
              <a:sysClr val="windowText" lastClr="000000"/>
            </a:solidFill>
          </a:ln>
        </c:spPr>
        <c:crossAx val="1019955327"/>
        <c:crosses val="autoZero"/>
        <c:auto val="0"/>
        <c:lblOffset val="100"/>
        <c:baseTimeUnit val="days"/>
        <c:majorUnit val="5"/>
        <c:majorTimeUnit val="days"/>
      </c:dateAx>
      <c:valAx>
        <c:axId val="1019955327"/>
        <c:scaling>
          <c:orientation val="minMax"/>
        </c:scaling>
        <c:delete val="0"/>
        <c:axPos val="l"/>
        <c:majorGridlines/>
        <c:title>
          <c:tx>
            <c:rich>
              <a:bodyPr/>
              <a:lstStyle/>
              <a:p>
                <a:pPr>
                  <a:defRPr/>
                </a:pPr>
                <a:r>
                  <a:rPr lang="en-US" b="1">
                    <a:solidFill>
                      <a:sysClr val="windowText" lastClr="000000"/>
                    </a:solidFill>
                  </a:rPr>
                  <a:t>Company Absolute</a:t>
                </a:r>
                <a:r>
                  <a:rPr lang="en-US" b="1" baseline="0">
                    <a:solidFill>
                      <a:sysClr val="windowText" lastClr="000000"/>
                    </a:solidFill>
                  </a:rPr>
                  <a:t> Emissions</a:t>
                </a:r>
                <a:r>
                  <a:rPr lang="en-US" b="1">
                    <a:solidFill>
                      <a:sysClr val="windowText" lastClr="000000"/>
                    </a:solidFill>
                  </a:rPr>
                  <a:t> Scope 1+2 (</a:t>
                </a:r>
                <a:r>
                  <a:rPr lang="en-US" b="1" baseline="0">
                    <a:solidFill>
                      <a:sysClr val="windowText" lastClr="000000"/>
                    </a:solidFill>
                  </a:rPr>
                  <a:t>tonne </a:t>
                </a:r>
                <a:r>
                  <a:rPr lang="en-US" b="1">
                    <a:solidFill>
                      <a:sysClr val="windowText" lastClr="000000"/>
                    </a:solidFill>
                  </a:rPr>
                  <a:t>CO</a:t>
                </a:r>
                <a:r>
                  <a:rPr lang="en-US" b="1" baseline="-25000">
                    <a:solidFill>
                      <a:sysClr val="windowText" lastClr="000000"/>
                    </a:solidFill>
                  </a:rPr>
                  <a:t>2</a:t>
                </a:r>
                <a:r>
                  <a:rPr lang="en-US" b="1">
                    <a:solidFill>
                      <a:sysClr val="windowText" lastClr="000000"/>
                    </a:solidFill>
                  </a:rPr>
                  <a:t>e)</a:t>
                </a:r>
              </a:p>
            </c:rich>
          </c:tx>
          <c:overlay val="0"/>
        </c:title>
        <c:numFmt formatCode="#,##0" sourceLinked="1"/>
        <c:majorTickMark val="none"/>
        <c:minorTickMark val="none"/>
        <c:tickLblPos val="nextTo"/>
        <c:spPr>
          <a:ln>
            <a:solidFill>
              <a:sysClr val="windowText" lastClr="000000"/>
            </a:solidFill>
          </a:ln>
        </c:spPr>
        <c:crossAx val="1357263375"/>
        <c:crosses val="autoZero"/>
        <c:crossBetween val="between"/>
      </c:valAx>
    </c:plotArea>
    <c:legend>
      <c:legendPos val="b"/>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1" baseline="0">
                <a:solidFill>
                  <a:srgbClr val="00546E"/>
                </a:solidFill>
              </a:rPr>
              <a:t>Target year Emissions Intensity</a:t>
            </a:r>
            <a:endParaRPr lang="en-US" b="1">
              <a:solidFill>
                <a:srgbClr val="00546E"/>
              </a:solidFill>
            </a:endParaRPr>
          </a:p>
        </c:rich>
      </c:tx>
      <c:overlay val="0"/>
    </c:title>
    <c:autoTitleDeleted val="0"/>
    <c:plotArea>
      <c:layout/>
      <c:lineChart>
        <c:grouping val="standard"/>
        <c:varyColors val="0"/>
        <c:ser>
          <c:idx val="0"/>
          <c:order val="0"/>
          <c:tx>
            <c:v>Carbon Intensity Convergence Trajectory</c:v>
          </c:tx>
          <c:spPr>
            <a:ln>
              <a:solidFill>
                <a:srgbClr val="00546E"/>
              </a:solidFill>
            </a:ln>
          </c:spPr>
          <c:marker>
            <c:symbol val="none"/>
          </c:marker>
          <c:cat>
            <c:numRef>
              <c:f>Calc!$H$28:$AP$28</c:f>
              <c:numCache>
                <c:formatCode>General</c:formatCode>
                <c:ptCount val="35"/>
                <c:pt idx="0">
                  <c:v>#N/A</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numCache>
            </c:numRef>
          </c:cat>
          <c:val>
            <c:numRef>
              <c:f>Calc!$H$32:$AP$32</c:f>
              <c:numCache>
                <c:formatCode>#,##0.00</c:formatCode>
                <c:ptCount val="35"/>
                <c:pt idx="0">
                  <c:v>#N/A</c:v>
                </c:pt>
                <c:pt idx="1">
                  <c:v>117</c:v>
                </c:pt>
                <c:pt idx="2">
                  <c:v>112.19314309485695</c:v>
                </c:pt>
                <c:pt idx="3">
                  <c:v>107.31387438014585</c:v>
                </c:pt>
                <c:pt idx="4">
                  <c:v>102.37235935505541</c:v>
                </c:pt>
                <c:pt idx="5">
                  <c:v>97.378256381826191</c:v>
                </c:pt>
                <c:pt idx="6">
                  <c:v>92.340736011277912</c:v>
                </c:pt>
                <c:pt idx="7">
                  <c:v>87.268499664211205</c:v>
                </c:pt>
                <c:pt idx="8">
                  <c:v>82.169797688529655</c:v>
                </c:pt>
                <c:pt idx="9">
                  <c:v>77.052446811230794</c:v>
                </c:pt>
                <c:pt idx="10">
                  <c:v>72.199598389608838</c:v>
                </c:pt>
                <c:pt idx="11">
                  <c:v>67.301733227284231</c:v>
                </c:pt>
                <c:pt idx="12">
                  <c:v>62.367711136492069</c:v>
                </c:pt>
                <c:pt idx="13">
                  <c:v>57.405931465527551</c:v>
                </c:pt>
                <c:pt idx="14">
                  <c:v>52.424350952475578</c:v>
                </c:pt>
                <c:pt idx="15">
                  <c:v>48.265030858339706</c:v>
                </c:pt>
                <c:pt idx="16">
                  <c:v>44.155977647543878</c:v>
                </c:pt>
                <c:pt idx="17">
                  <c:v>40.099196545714385</c:v>
                </c:pt>
                <c:pt idx="18">
                  <c:v>36.096535232477891</c:v>
                </c:pt>
                <c:pt idx="19">
                  <c:v>32.149690719394343</c:v>
                </c:pt>
                <c:pt idx="20">
                  <c:v>29.117822105689367</c:v>
                </c:pt>
                <c:pt idx="21">
                  <c:v>26.124198147045799</c:v>
                </c:pt>
                <c:pt idx="22">
                  <c:v>23.170239457249625</c:v>
                </c:pt>
                <c:pt idx="23">
                  <c:v>20.257252236496342</c:v>
                </c:pt>
                <c:pt idx="24">
                  <c:v>17.386433298368804</c:v>
                </c:pt>
                <c:pt idx="25">
                  <c:v>15.229340604587614</c:v>
                </c:pt>
                <c:pt idx="26">
                  <c:v>13.100921133310861</c:v>
                </c:pt>
                <c:pt idx="27">
                  <c:v>11.002148011097532</c:v>
                </c:pt>
                <c:pt idx="28">
                  <c:v>8.9339133603956373</c:v>
                </c:pt>
                <c:pt idx="29">
                  <c:v>6.897031887987179</c:v>
                </c:pt>
                <c:pt idx="30">
                  <c:v>5.6435830809722818</c:v>
                </c:pt>
                <c:pt idx="31">
                  <c:v>4.4077000724018172</c:v>
                </c:pt>
                <c:pt idx="32">
                  <c:v>3.1899251861394187</c:v>
                </c:pt>
                <c:pt idx="33">
                  <c:v>1.9907539158048677</c:v>
                </c:pt>
                <c:pt idx="34">
                  <c:v>0.81063701757114071</c:v>
                </c:pt>
              </c:numCache>
            </c:numRef>
          </c:val>
          <c:smooth val="0"/>
          <c:extLst>
            <c:ext xmlns:c16="http://schemas.microsoft.com/office/drawing/2014/chart" uri="{C3380CC4-5D6E-409C-BE32-E72D297353CC}">
              <c16:uniqueId val="{00000000-7047-4B78-A348-C2ECFA650470}"/>
            </c:ext>
          </c:extLst>
        </c:ser>
        <c:dLbls>
          <c:showLegendKey val="0"/>
          <c:showVal val="0"/>
          <c:showCatName val="0"/>
          <c:showSerName val="0"/>
          <c:showPercent val="0"/>
          <c:showBubbleSize val="0"/>
        </c:dLbls>
        <c:marker val="1"/>
        <c:smooth val="0"/>
        <c:axId val="1357263375"/>
        <c:axId val="1019955327"/>
      </c:lineChart>
      <c:scatterChart>
        <c:scatterStyle val="lineMarker"/>
        <c:varyColors val="0"/>
        <c:ser>
          <c:idx val="1"/>
          <c:order val="1"/>
          <c:tx>
            <c:v>Carbon Intensity at Target Year</c:v>
          </c:tx>
          <c:spPr>
            <a:ln w="25400">
              <a:noFill/>
            </a:ln>
          </c:spPr>
          <c:marker>
            <c:symbol val="diamond"/>
            <c:size val="9"/>
            <c:spPr>
              <a:solidFill>
                <a:srgbClr val="FFFF00"/>
              </a:solidFill>
              <a:ln w="34925">
                <a:solidFill>
                  <a:srgbClr val="FFC000"/>
                </a:solidFill>
              </a:ln>
            </c:spPr>
          </c:marker>
          <c:dLbls>
            <c:dLbl>
              <c:idx val="24"/>
              <c:delete val="1"/>
              <c:extLst>
                <c:ext xmlns:c15="http://schemas.microsoft.com/office/drawing/2012/chart" uri="{CE6537A1-D6FC-4f65-9D91-7224C49458BB}"/>
              </c:extLst>
            </c:dLbl>
            <c:dLbl>
              <c:idx val="33"/>
              <c:layout>
                <c:manualLayout>
                  <c:x val="-2.6248631376725375E-2"/>
                  <c:y val="-6.0769745553178996E-2"/>
                </c:manualLayout>
              </c:layout>
              <c:showLegendKey val="0"/>
              <c:showVal val="1"/>
              <c:showCatName val="0"/>
              <c:showSerName val="0"/>
              <c:showPercent val="0"/>
              <c:showBubbleSize val="0"/>
              <c:extLst>
                <c:ext xmlns:c15="http://schemas.microsoft.com/office/drawing/2012/chart" uri="{CE6537A1-D6FC-4f65-9D91-7224C49458BB}"/>
              </c:extLst>
            </c:dLbl>
            <c:spPr>
              <a:solidFill>
                <a:sysClr val="window" lastClr="FFFFFF"/>
              </a:solidFill>
              <a:ln>
                <a:solidFill>
                  <a:srgbClr val="555759">
                    <a:lumMod val="25000"/>
                    <a:lumOff val="75000"/>
                  </a:srgbClr>
                </a:solidFill>
              </a:ln>
              <a:effectLst/>
            </c:sp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LeaderLines val="1"/>
              </c:ext>
            </c:extLst>
          </c:dLbls>
          <c:xVal>
            <c:numRef>
              <c:f>Calc!$H$28:$AP$28</c:f>
              <c:numCache>
                <c:formatCode>General</c:formatCode>
                <c:ptCount val="35"/>
                <c:pt idx="0">
                  <c:v>#N/A</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numCache>
            </c:numRef>
          </c:xVal>
          <c:yVal>
            <c:numRef>
              <c:f>Calc!$H$33:$AP$33</c:f>
              <c:numCache>
                <c:formatCode>#,##0.00</c:formatCode>
                <c:ptCount val="3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52.424350952475578</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numCache>
            </c:numRef>
          </c:yVal>
          <c:smooth val="0"/>
          <c:extLst>
            <c:ext xmlns:c16="http://schemas.microsoft.com/office/drawing/2014/chart" uri="{C3380CC4-5D6E-409C-BE32-E72D297353CC}">
              <c16:uniqueId val="{00000003-7047-4B78-A348-C2ECFA650470}"/>
            </c:ext>
          </c:extLst>
        </c:ser>
        <c:dLbls>
          <c:showLegendKey val="0"/>
          <c:showVal val="0"/>
          <c:showCatName val="0"/>
          <c:showSerName val="0"/>
          <c:showPercent val="0"/>
          <c:showBubbleSize val="0"/>
        </c:dLbls>
        <c:axId val="1357263375"/>
        <c:axId val="1019955327"/>
      </c:scatterChart>
      <c:dateAx>
        <c:axId val="1357263375"/>
        <c:scaling>
          <c:orientation val="minMax"/>
        </c:scaling>
        <c:delete val="0"/>
        <c:axPos val="b"/>
        <c:majorGridlines/>
        <c:title>
          <c:tx>
            <c:rich>
              <a:bodyPr/>
              <a:lstStyle/>
              <a:p>
                <a:pPr>
                  <a:defRPr/>
                </a:pPr>
                <a:r>
                  <a:rPr lang="en-US" b="1">
                    <a:solidFill>
                      <a:sysClr val="windowText" lastClr="000000"/>
                    </a:solidFill>
                  </a:rPr>
                  <a:t>Year</a:t>
                </a:r>
              </a:p>
            </c:rich>
          </c:tx>
          <c:overlay val="0"/>
        </c:title>
        <c:numFmt formatCode="General" sourceLinked="1"/>
        <c:majorTickMark val="none"/>
        <c:minorTickMark val="none"/>
        <c:tickLblPos val="nextTo"/>
        <c:spPr>
          <a:ln>
            <a:solidFill>
              <a:sysClr val="windowText" lastClr="000000"/>
            </a:solidFill>
          </a:ln>
        </c:spPr>
        <c:crossAx val="1019955327"/>
        <c:crosses val="autoZero"/>
        <c:auto val="0"/>
        <c:lblOffset val="100"/>
        <c:baseTimeUnit val="days"/>
        <c:majorUnit val="5"/>
        <c:majorTimeUnit val="days"/>
      </c:dateAx>
      <c:valAx>
        <c:axId val="1019955327"/>
        <c:scaling>
          <c:orientation val="minMax"/>
        </c:scaling>
        <c:delete val="0"/>
        <c:axPos val="l"/>
        <c:majorGridlines/>
        <c:title>
          <c:tx>
            <c:rich>
              <a:bodyPr/>
              <a:lstStyle/>
              <a:p>
                <a:pPr>
                  <a:defRPr/>
                </a:pPr>
                <a:r>
                  <a:rPr lang="en-US" b="1">
                    <a:solidFill>
                      <a:sysClr val="windowText" lastClr="000000"/>
                    </a:solidFill>
                  </a:rPr>
                  <a:t>Company Carbon Intensity Scope 1+2 (kgCO</a:t>
                </a:r>
                <a:r>
                  <a:rPr lang="en-US" b="1" baseline="-25000">
                    <a:solidFill>
                      <a:sysClr val="windowText" lastClr="000000"/>
                    </a:solidFill>
                  </a:rPr>
                  <a:t>2</a:t>
                </a:r>
                <a:r>
                  <a:rPr lang="en-US" b="1">
                    <a:solidFill>
                      <a:sysClr val="windowText" lastClr="000000"/>
                    </a:solidFill>
                  </a:rPr>
                  <a:t>e/m</a:t>
                </a:r>
                <a:r>
                  <a:rPr lang="en-US" b="1" baseline="30000">
                    <a:solidFill>
                      <a:sysClr val="windowText" lastClr="000000"/>
                    </a:solidFill>
                  </a:rPr>
                  <a:t>2</a:t>
                </a:r>
                <a:r>
                  <a:rPr lang="en-US" b="1">
                    <a:solidFill>
                      <a:sysClr val="windowText" lastClr="000000"/>
                    </a:solidFill>
                  </a:rPr>
                  <a:t>)</a:t>
                </a:r>
              </a:p>
            </c:rich>
          </c:tx>
          <c:overlay val="0"/>
        </c:title>
        <c:numFmt formatCode="#,##0.00" sourceLinked="1"/>
        <c:majorTickMark val="none"/>
        <c:minorTickMark val="none"/>
        <c:tickLblPos val="nextTo"/>
        <c:spPr>
          <a:ln>
            <a:solidFill>
              <a:sysClr val="windowText" lastClr="000000"/>
            </a:solidFill>
          </a:ln>
        </c:spPr>
        <c:crossAx val="1357263375"/>
        <c:crosses val="autoZero"/>
        <c:crossBetween val="between"/>
      </c:valAx>
    </c:plotArea>
    <c:legend>
      <c:legendPos val="b"/>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5.gif"/><Relationship Id="rId4" Type="http://schemas.openxmlformats.org/officeDocument/2006/relationships/image" Target="../media/image6.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5.gif"/><Relationship Id="rId6" Type="http://schemas.openxmlformats.org/officeDocument/2006/relationships/image" Target="../media/image7.jpeg"/><Relationship Id="rId5" Type="http://schemas.openxmlformats.org/officeDocument/2006/relationships/image" Target="../media/image3.svg"/><Relationship Id="rId4"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3.svg"/><Relationship Id="rId1" Type="http://schemas.openxmlformats.org/officeDocument/2006/relationships/image" Target="../media/image2.png"/><Relationship Id="rId4" Type="http://schemas.openxmlformats.org/officeDocument/2006/relationships/image" Target="../media/image5.gif"/></Relationships>
</file>

<file path=xl/drawings/_rels/drawing5.xml.rels><?xml version="1.0" encoding="UTF-8" standalone="yes"?>
<Relationships xmlns="http://schemas.openxmlformats.org/package/2006/relationships"><Relationship Id="rId8" Type="http://schemas.openxmlformats.org/officeDocument/2006/relationships/image" Target="../media/image12.jpeg"/><Relationship Id="rId3" Type="http://schemas.openxmlformats.org/officeDocument/2006/relationships/image" Target="../media/image9.png"/><Relationship Id="rId7" Type="http://schemas.openxmlformats.org/officeDocument/2006/relationships/image" Target="../media/image3.svg"/><Relationship Id="rId2" Type="http://schemas.openxmlformats.org/officeDocument/2006/relationships/image" Target="../media/image8.png"/><Relationship Id="rId1" Type="http://schemas.openxmlformats.org/officeDocument/2006/relationships/image" Target="../media/image5.gif"/><Relationship Id="rId6" Type="http://schemas.openxmlformats.org/officeDocument/2006/relationships/image" Target="../media/image2.png"/><Relationship Id="rId5" Type="http://schemas.openxmlformats.org/officeDocument/2006/relationships/image" Target="../media/image11.png"/><Relationship Id="rId4" Type="http://schemas.openxmlformats.org/officeDocument/2006/relationships/image" Target="../media/image10.pn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5.gif"/><Relationship Id="rId4" Type="http://schemas.openxmlformats.org/officeDocument/2006/relationships/image" Target="../media/image13.jpeg"/></Relationships>
</file>

<file path=xl/drawings/drawing1.xml><?xml version="1.0" encoding="utf-8"?>
<xdr:wsDr xmlns:xdr="http://schemas.openxmlformats.org/drawingml/2006/spreadsheetDrawing" xmlns:a="http://schemas.openxmlformats.org/drawingml/2006/main">
  <xdr:twoCellAnchor editAs="oneCell">
    <xdr:from>
      <xdr:col>1</xdr:col>
      <xdr:colOff>18152</xdr:colOff>
      <xdr:row>2</xdr:row>
      <xdr:rowOff>30381</xdr:rowOff>
    </xdr:from>
    <xdr:to>
      <xdr:col>4</xdr:col>
      <xdr:colOff>35498</xdr:colOff>
      <xdr:row>4</xdr:row>
      <xdr:rowOff>208908</xdr:rowOff>
    </xdr:to>
    <xdr:pic>
      <xdr:nvPicPr>
        <xdr:cNvPr id="2" name="Picture 1" descr="Image result for SBTi logo transparent&quot;">
          <a:extLst>
            <a:ext uri="{FF2B5EF4-FFF2-40B4-BE49-F238E27FC236}">
              <a16:creationId xmlns:a16="http://schemas.microsoft.com/office/drawing/2014/main" id="{DA49C505-71A0-4F2F-807B-BB128A9C76CA}"/>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5652"/>
        <a:stretch/>
      </xdr:blipFill>
      <xdr:spPr bwMode="auto">
        <a:xfrm>
          <a:off x="320711" y="523440"/>
          <a:ext cx="2538669" cy="11646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876485</xdr:colOff>
      <xdr:row>6</xdr:row>
      <xdr:rowOff>63118</xdr:rowOff>
    </xdr:from>
    <xdr:to>
      <xdr:col>8</xdr:col>
      <xdr:colOff>577850</xdr:colOff>
      <xdr:row>6</xdr:row>
      <xdr:rowOff>459158</xdr:rowOff>
    </xdr:to>
    <xdr:pic>
      <xdr:nvPicPr>
        <xdr:cNvPr id="22" name="Graphic 16">
          <a:extLst>
            <a:ext uri="{FF2B5EF4-FFF2-40B4-BE49-F238E27FC236}">
              <a16:creationId xmlns:a16="http://schemas.microsoft.com/office/drawing/2014/main" id="{A5968479-D6D7-45C2-952F-B4B147E97633}"/>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5543735" y="1815718"/>
          <a:ext cx="1492065" cy="396040"/>
        </a:xfrm>
        <a:prstGeom prst="rect">
          <a:avLst/>
        </a:prstGeom>
      </xdr:spPr>
    </xdr:pic>
    <xdr:clientData/>
  </xdr:twoCellAnchor>
  <xdr:twoCellAnchor editAs="oneCell">
    <xdr:from>
      <xdr:col>11</xdr:col>
      <xdr:colOff>736600</xdr:colOff>
      <xdr:row>2</xdr:row>
      <xdr:rowOff>50799</xdr:rowOff>
    </xdr:from>
    <xdr:to>
      <xdr:col>13</xdr:col>
      <xdr:colOff>270508</xdr:colOff>
      <xdr:row>6</xdr:row>
      <xdr:rowOff>323886</xdr:rowOff>
    </xdr:to>
    <xdr:pic>
      <xdr:nvPicPr>
        <xdr:cNvPr id="23" name="Picture 3">
          <a:extLst>
            <a:ext uri="{FF2B5EF4-FFF2-40B4-BE49-F238E27FC236}">
              <a16:creationId xmlns:a16="http://schemas.microsoft.com/office/drawing/2014/main" id="{07FA3FD1-16B6-4544-A6AC-8A71CF8EA7B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880600" y="304799"/>
          <a:ext cx="1206498" cy="1751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76312</xdr:colOff>
      <xdr:row>2</xdr:row>
      <xdr:rowOff>50027</xdr:rowOff>
    </xdr:from>
    <xdr:to>
      <xdr:col>4</xdr:col>
      <xdr:colOff>186802</xdr:colOff>
      <xdr:row>6</xdr:row>
      <xdr:rowOff>125</xdr:rowOff>
    </xdr:to>
    <xdr:pic>
      <xdr:nvPicPr>
        <xdr:cNvPr id="2" name="Imagen 2" descr="C:\Users\Fernando Rangel\Google Drive\SBTi\SBTi - Core team\Communication Team\Branding\Logos and templates\SBTi logos_\Logos_\SBT copy.gif">
          <a:extLst>
            <a:ext uri="{FF2B5EF4-FFF2-40B4-BE49-F238E27FC236}">
              <a16:creationId xmlns:a16="http://schemas.microsoft.com/office/drawing/2014/main" id="{56618DB6-A2AC-4453-BEA6-B70CC90ECEC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8622"/>
        <a:stretch/>
      </xdr:blipFill>
      <xdr:spPr bwMode="auto">
        <a:xfrm>
          <a:off x="322841" y="318968"/>
          <a:ext cx="2497343" cy="1152713"/>
        </a:xfrm>
        <a:prstGeom prst="rect">
          <a:avLst/>
        </a:prstGeom>
        <a:noFill/>
        <a:ln>
          <a:noFill/>
        </a:ln>
        <a:extLst>
          <a:ext uri="{53640926-AAD7-44D8-BBD7-CCE9431645EC}">
            <a14:shadowObscured xmlns:a14="http://schemas.microsoft.com/office/drawing/2010/main"/>
          </a:ext>
        </a:extLst>
      </xdr:spPr>
    </xdr:pic>
    <xdr:clientData/>
  </xdr:twoCellAnchor>
  <xdr:twoCellAnchor>
    <xdr:from>
      <xdr:col>7</xdr:col>
      <xdr:colOff>819151</xdr:colOff>
      <xdr:row>6</xdr:row>
      <xdr:rowOff>6350</xdr:rowOff>
    </xdr:from>
    <xdr:to>
      <xdr:col>9</xdr:col>
      <xdr:colOff>558801</xdr:colOff>
      <xdr:row>6</xdr:row>
      <xdr:rowOff>382213</xdr:rowOff>
    </xdr:to>
    <xdr:pic>
      <xdr:nvPicPr>
        <xdr:cNvPr id="10" name="Graphic 16">
          <a:extLst>
            <a:ext uri="{FF2B5EF4-FFF2-40B4-BE49-F238E27FC236}">
              <a16:creationId xmlns:a16="http://schemas.microsoft.com/office/drawing/2014/main" id="{2CC49438-6E07-4357-B666-3CAFAC94378D}"/>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6146801" y="1460500"/>
          <a:ext cx="1416050" cy="375863"/>
        </a:xfrm>
        <a:prstGeom prst="rect">
          <a:avLst/>
        </a:prstGeom>
      </xdr:spPr>
    </xdr:pic>
    <xdr:clientData/>
  </xdr:twoCellAnchor>
  <xdr:twoCellAnchor editAs="oneCell">
    <xdr:from>
      <xdr:col>12</xdr:col>
      <xdr:colOff>511807</xdr:colOff>
      <xdr:row>2</xdr:row>
      <xdr:rowOff>63499</xdr:rowOff>
    </xdr:from>
    <xdr:to>
      <xdr:col>13</xdr:col>
      <xdr:colOff>723193</xdr:colOff>
      <xdr:row>6</xdr:row>
      <xdr:rowOff>283210</xdr:rowOff>
    </xdr:to>
    <xdr:pic>
      <xdr:nvPicPr>
        <xdr:cNvPr id="4" name="Picture 8">
          <a:extLst>
            <a:ext uri="{FF2B5EF4-FFF2-40B4-BE49-F238E27FC236}">
              <a16:creationId xmlns:a16="http://schemas.microsoft.com/office/drawing/2014/main" id="{694F7435-409D-4703-8045-59CDA7A684C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030457" y="317499"/>
          <a:ext cx="988626" cy="14351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169545</xdr:colOff>
      <xdr:row>2</xdr:row>
      <xdr:rowOff>56134</xdr:rowOff>
    </xdr:from>
    <xdr:to>
      <xdr:col>1</xdr:col>
      <xdr:colOff>2683872</xdr:colOff>
      <xdr:row>5</xdr:row>
      <xdr:rowOff>148883</xdr:rowOff>
    </xdr:to>
    <xdr:pic>
      <xdr:nvPicPr>
        <xdr:cNvPr id="2" name="Imagen 2" descr="C:\Users\Fernando Rangel\Google Drive\SBTi\SBTi - Core team\Communication Team\Branding\Logos and templates\SBTi logos_\Logos_\SBT copy.gif">
          <a:extLst>
            <a:ext uri="{FF2B5EF4-FFF2-40B4-BE49-F238E27FC236}">
              <a16:creationId xmlns:a16="http://schemas.microsoft.com/office/drawing/2014/main" id="{80706149-D1A5-4F75-95BB-680BEA159AE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8622"/>
        <a:stretch/>
      </xdr:blipFill>
      <xdr:spPr bwMode="auto">
        <a:xfrm>
          <a:off x="417195" y="322834"/>
          <a:ext cx="2518137" cy="1140499"/>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49115</xdr:colOff>
      <xdr:row>31</xdr:row>
      <xdr:rowOff>89058</xdr:rowOff>
    </xdr:from>
    <xdr:to>
      <xdr:col>5</xdr:col>
      <xdr:colOff>1565495</xdr:colOff>
      <xdr:row>70</xdr:row>
      <xdr:rowOff>21907</xdr:rowOff>
    </xdr:to>
    <xdr:graphicFrame macro="">
      <xdr:nvGraphicFramePr>
        <xdr:cNvPr id="4" name="Chart 7">
          <a:extLst>
            <a:ext uri="{FF2B5EF4-FFF2-40B4-BE49-F238E27FC236}">
              <a16:creationId xmlns:a16="http://schemas.microsoft.com/office/drawing/2014/main" id="{0FC4426C-2FF5-47F9-BFAD-4B8AB32639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53338</xdr:colOff>
      <xdr:row>31</xdr:row>
      <xdr:rowOff>96678</xdr:rowOff>
    </xdr:from>
    <xdr:to>
      <xdr:col>17</xdr:col>
      <xdr:colOff>422908</xdr:colOff>
      <xdr:row>70</xdr:row>
      <xdr:rowOff>21907</xdr:rowOff>
    </xdr:to>
    <xdr:graphicFrame macro="">
      <xdr:nvGraphicFramePr>
        <xdr:cNvPr id="11" name="Chart 8">
          <a:extLst>
            <a:ext uri="{FF2B5EF4-FFF2-40B4-BE49-F238E27FC236}">
              <a16:creationId xmlns:a16="http://schemas.microsoft.com/office/drawing/2014/main" id="{D8CE33C1-89FF-4D36-90F4-917623191F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198437</xdr:colOff>
      <xdr:row>6</xdr:row>
      <xdr:rowOff>23813</xdr:rowOff>
    </xdr:from>
    <xdr:to>
      <xdr:col>9</xdr:col>
      <xdr:colOff>360362</xdr:colOff>
      <xdr:row>6</xdr:row>
      <xdr:rowOff>399676</xdr:rowOff>
    </xdr:to>
    <xdr:pic>
      <xdr:nvPicPr>
        <xdr:cNvPr id="3" name="Graphic 16">
          <a:extLst>
            <a:ext uri="{FF2B5EF4-FFF2-40B4-BE49-F238E27FC236}">
              <a16:creationId xmlns:a16="http://schemas.microsoft.com/office/drawing/2014/main" id="{8A548F8A-D765-4BFB-80C3-0DE9DFE99AAC}"/>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8636000" y="1484313"/>
          <a:ext cx="1416050" cy="375863"/>
        </a:xfrm>
        <a:prstGeom prst="rect">
          <a:avLst/>
        </a:prstGeom>
      </xdr:spPr>
    </xdr:pic>
    <xdr:clientData/>
  </xdr:twoCellAnchor>
  <xdr:twoCellAnchor editAs="oneCell">
    <xdr:from>
      <xdr:col>13</xdr:col>
      <xdr:colOff>341312</xdr:colOff>
      <xdr:row>2</xdr:row>
      <xdr:rowOff>39688</xdr:rowOff>
    </xdr:from>
    <xdr:to>
      <xdr:col>14</xdr:col>
      <xdr:colOff>552698</xdr:colOff>
      <xdr:row>6</xdr:row>
      <xdr:rowOff>246064</xdr:rowOff>
    </xdr:to>
    <xdr:pic>
      <xdr:nvPicPr>
        <xdr:cNvPr id="5" name="Picture 8">
          <a:extLst>
            <a:ext uri="{FF2B5EF4-FFF2-40B4-BE49-F238E27FC236}">
              <a16:creationId xmlns:a16="http://schemas.microsoft.com/office/drawing/2014/main" id="{F00068E5-95FD-4A95-9CE6-8DB06A86BBEC}"/>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2874625" y="293688"/>
          <a:ext cx="988626" cy="14351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6</xdr:row>
      <xdr:rowOff>38100</xdr:rowOff>
    </xdr:from>
    <xdr:to>
      <xdr:col>10</xdr:col>
      <xdr:colOff>577850</xdr:colOff>
      <xdr:row>6</xdr:row>
      <xdr:rowOff>413963</xdr:rowOff>
    </xdr:to>
    <xdr:pic>
      <xdr:nvPicPr>
        <xdr:cNvPr id="6" name="Graphic 16">
          <a:extLst>
            <a:ext uri="{FF2B5EF4-FFF2-40B4-BE49-F238E27FC236}">
              <a16:creationId xmlns:a16="http://schemas.microsoft.com/office/drawing/2014/main" id="{1925B82A-9AD1-4527-850D-3B8BEB255E16}"/>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8343900" y="1492250"/>
          <a:ext cx="1416050" cy="375863"/>
        </a:xfrm>
        <a:prstGeom prst="rect">
          <a:avLst/>
        </a:prstGeom>
      </xdr:spPr>
    </xdr:pic>
    <xdr:clientData/>
  </xdr:twoCellAnchor>
  <xdr:twoCellAnchor editAs="oneCell">
    <xdr:from>
      <xdr:col>13</xdr:col>
      <xdr:colOff>666750</xdr:colOff>
      <xdr:row>2</xdr:row>
      <xdr:rowOff>6350</xdr:rowOff>
    </xdr:from>
    <xdr:to>
      <xdr:col>15</xdr:col>
      <xdr:colOff>93276</xdr:colOff>
      <xdr:row>6</xdr:row>
      <xdr:rowOff>212726</xdr:rowOff>
    </xdr:to>
    <xdr:pic>
      <xdr:nvPicPr>
        <xdr:cNvPr id="7" name="Picture 6">
          <a:extLst>
            <a:ext uri="{FF2B5EF4-FFF2-40B4-BE49-F238E27FC236}">
              <a16:creationId xmlns:a16="http://schemas.microsoft.com/office/drawing/2014/main" id="{D9CF59EF-A52C-446A-965A-CBC224B418C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363450" y="260350"/>
          <a:ext cx="988626" cy="1435101"/>
        </a:xfrm>
        <a:prstGeom prst="rect">
          <a:avLst/>
        </a:prstGeom>
      </xdr:spPr>
    </xdr:pic>
    <xdr:clientData/>
  </xdr:twoCellAnchor>
  <xdr:twoCellAnchor editAs="oneCell">
    <xdr:from>
      <xdr:col>1</xdr:col>
      <xdr:colOff>6773</xdr:colOff>
      <xdr:row>2</xdr:row>
      <xdr:rowOff>52324</xdr:rowOff>
    </xdr:from>
    <xdr:to>
      <xdr:col>4</xdr:col>
      <xdr:colOff>707540</xdr:colOff>
      <xdr:row>5</xdr:row>
      <xdr:rowOff>135548</xdr:rowOff>
    </xdr:to>
    <xdr:pic>
      <xdr:nvPicPr>
        <xdr:cNvPr id="12" name="Imagen 2" descr="C:\Users\Fernando Rangel\Google Drive\SBTi\SBTi - Core team\Communication Team\Branding\Logos and templates\SBTi logos_\Logos_\SBT copy.gif">
          <a:extLst>
            <a:ext uri="{FF2B5EF4-FFF2-40B4-BE49-F238E27FC236}">
              <a16:creationId xmlns:a16="http://schemas.microsoft.com/office/drawing/2014/main" id="{2508DE95-7091-48BD-81C0-A34B58D57A26}"/>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18622"/>
        <a:stretch/>
      </xdr:blipFill>
      <xdr:spPr bwMode="auto">
        <a:xfrm>
          <a:off x="250190" y="327491"/>
          <a:ext cx="2514327" cy="1138594"/>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173355</xdr:colOff>
      <xdr:row>2</xdr:row>
      <xdr:rowOff>59943</xdr:rowOff>
    </xdr:from>
    <xdr:to>
      <xdr:col>3</xdr:col>
      <xdr:colOff>624991</xdr:colOff>
      <xdr:row>6</xdr:row>
      <xdr:rowOff>2409</xdr:rowOff>
    </xdr:to>
    <xdr:pic>
      <xdr:nvPicPr>
        <xdr:cNvPr id="2" name="Imagen 2" descr="C:\Users\Fernando Rangel\Google Drive\SBTi\SBTi - Core team\Communication Team\Branding\Logos and templates\SBTi logos_\Logos_\SBT copy.gif">
          <a:extLst>
            <a:ext uri="{FF2B5EF4-FFF2-40B4-BE49-F238E27FC236}">
              <a16:creationId xmlns:a16="http://schemas.microsoft.com/office/drawing/2014/main" id="{23297FE0-546D-464D-8892-8E135DE856B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8622"/>
        <a:stretch/>
      </xdr:blipFill>
      <xdr:spPr bwMode="auto">
        <a:xfrm>
          <a:off x="421005" y="326643"/>
          <a:ext cx="2514539" cy="115002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12</xdr:col>
      <xdr:colOff>8467</xdr:colOff>
      <xdr:row>13</xdr:row>
      <xdr:rowOff>48475</xdr:rowOff>
    </xdr:from>
    <xdr:to>
      <xdr:col>15</xdr:col>
      <xdr:colOff>589463</xdr:colOff>
      <xdr:row>16</xdr:row>
      <xdr:rowOff>156001</xdr:rowOff>
    </xdr:to>
    <xdr:pic>
      <xdr:nvPicPr>
        <xdr:cNvPr id="3" name="Picture 2">
          <a:extLst>
            <a:ext uri="{FF2B5EF4-FFF2-40B4-BE49-F238E27FC236}">
              <a16:creationId xmlns:a16="http://schemas.microsoft.com/office/drawing/2014/main" id="{2EB37542-52F8-440F-8CE2-A25DEB93563B}"/>
            </a:ext>
          </a:extLst>
        </xdr:cNvPr>
        <xdr:cNvPicPr>
          <a:picLocks noChangeAspect="1"/>
        </xdr:cNvPicPr>
      </xdr:nvPicPr>
      <xdr:blipFill>
        <a:blip xmlns:r="http://schemas.openxmlformats.org/officeDocument/2006/relationships" r:embed="rId2"/>
        <a:stretch>
          <a:fillRect/>
        </a:stretch>
      </xdr:blipFill>
      <xdr:spPr>
        <a:xfrm>
          <a:off x="13543492" y="2848825"/>
          <a:ext cx="3398491" cy="564726"/>
        </a:xfrm>
        <a:prstGeom prst="rect">
          <a:avLst/>
        </a:prstGeom>
      </xdr:spPr>
    </xdr:pic>
    <xdr:clientData/>
  </xdr:twoCellAnchor>
  <xdr:twoCellAnchor editAs="oneCell">
    <xdr:from>
      <xdr:col>12</xdr:col>
      <xdr:colOff>38308</xdr:colOff>
      <xdr:row>16</xdr:row>
      <xdr:rowOff>132505</xdr:rowOff>
    </xdr:from>
    <xdr:to>
      <xdr:col>13</xdr:col>
      <xdr:colOff>645792</xdr:colOff>
      <xdr:row>18</xdr:row>
      <xdr:rowOff>154123</xdr:rowOff>
    </xdr:to>
    <xdr:pic>
      <xdr:nvPicPr>
        <xdr:cNvPr id="4" name="Picture 3">
          <a:extLst>
            <a:ext uri="{FF2B5EF4-FFF2-40B4-BE49-F238E27FC236}">
              <a16:creationId xmlns:a16="http://schemas.microsoft.com/office/drawing/2014/main" id="{4E7D0EF5-1481-46E2-96FB-41A83A581EC4}"/>
            </a:ext>
          </a:extLst>
        </xdr:cNvPr>
        <xdr:cNvPicPr>
          <a:picLocks noChangeAspect="1"/>
        </xdr:cNvPicPr>
      </xdr:nvPicPr>
      <xdr:blipFill>
        <a:blip xmlns:r="http://schemas.openxmlformats.org/officeDocument/2006/relationships" r:embed="rId3"/>
        <a:stretch>
          <a:fillRect/>
        </a:stretch>
      </xdr:blipFill>
      <xdr:spPr>
        <a:xfrm>
          <a:off x="13573333" y="3380530"/>
          <a:ext cx="1493309" cy="345468"/>
        </a:xfrm>
        <a:prstGeom prst="rect">
          <a:avLst/>
        </a:prstGeom>
      </xdr:spPr>
    </xdr:pic>
    <xdr:clientData/>
  </xdr:twoCellAnchor>
  <xdr:twoCellAnchor editAs="oneCell">
    <xdr:from>
      <xdr:col>11</xdr:col>
      <xdr:colOff>982531</xdr:colOff>
      <xdr:row>19</xdr:row>
      <xdr:rowOff>6144</xdr:rowOff>
    </xdr:from>
    <xdr:to>
      <xdr:col>15</xdr:col>
      <xdr:colOff>97344</xdr:colOff>
      <xdr:row>21</xdr:row>
      <xdr:rowOff>1482</xdr:rowOff>
    </xdr:to>
    <xdr:pic>
      <xdr:nvPicPr>
        <xdr:cNvPr id="6" name="Picture 5">
          <a:extLst>
            <a:ext uri="{FF2B5EF4-FFF2-40B4-BE49-F238E27FC236}">
              <a16:creationId xmlns:a16="http://schemas.microsoft.com/office/drawing/2014/main" id="{27B92707-B2CA-49BC-B85A-79762E37D480}"/>
            </a:ext>
          </a:extLst>
        </xdr:cNvPr>
        <xdr:cNvPicPr>
          <a:picLocks noChangeAspect="1"/>
        </xdr:cNvPicPr>
      </xdr:nvPicPr>
      <xdr:blipFill>
        <a:blip xmlns:r="http://schemas.openxmlformats.org/officeDocument/2006/relationships" r:embed="rId4">
          <a:alphaModFix/>
        </a:blip>
        <a:stretch>
          <a:fillRect/>
        </a:stretch>
      </xdr:blipFill>
      <xdr:spPr>
        <a:xfrm>
          <a:off x="13507906" y="3778044"/>
          <a:ext cx="2941958" cy="317283"/>
        </a:xfrm>
        <a:prstGeom prst="rect">
          <a:avLst/>
        </a:prstGeom>
      </xdr:spPr>
    </xdr:pic>
    <xdr:clientData/>
  </xdr:twoCellAnchor>
  <xdr:twoCellAnchor editAs="oneCell">
    <xdr:from>
      <xdr:col>11</xdr:col>
      <xdr:colOff>974938</xdr:colOff>
      <xdr:row>21</xdr:row>
      <xdr:rowOff>28543</xdr:rowOff>
    </xdr:from>
    <xdr:to>
      <xdr:col>14</xdr:col>
      <xdr:colOff>648335</xdr:colOff>
      <xdr:row>23</xdr:row>
      <xdr:rowOff>59598</xdr:rowOff>
    </xdr:to>
    <xdr:pic>
      <xdr:nvPicPr>
        <xdr:cNvPr id="5" name="Picture 4">
          <a:extLst>
            <a:ext uri="{FF2B5EF4-FFF2-40B4-BE49-F238E27FC236}">
              <a16:creationId xmlns:a16="http://schemas.microsoft.com/office/drawing/2014/main" id="{4A4A7ED0-6378-4916-BE52-65CB05CD587C}"/>
            </a:ext>
          </a:extLst>
        </xdr:cNvPr>
        <xdr:cNvPicPr>
          <a:picLocks noChangeAspect="1"/>
        </xdr:cNvPicPr>
      </xdr:nvPicPr>
      <xdr:blipFill>
        <a:blip xmlns:r="http://schemas.openxmlformats.org/officeDocument/2006/relationships" r:embed="rId5">
          <a:alphaModFix/>
        </a:blip>
        <a:stretch>
          <a:fillRect/>
        </a:stretch>
      </xdr:blipFill>
      <xdr:spPr>
        <a:xfrm>
          <a:off x="13500313" y="4124293"/>
          <a:ext cx="2521372" cy="358715"/>
        </a:xfrm>
        <a:prstGeom prst="rect">
          <a:avLst/>
        </a:prstGeom>
      </xdr:spPr>
    </xdr:pic>
    <xdr:clientData/>
  </xdr:twoCellAnchor>
  <xdr:twoCellAnchor>
    <xdr:from>
      <xdr:col>6</xdr:col>
      <xdr:colOff>682625</xdr:colOff>
      <xdr:row>6</xdr:row>
      <xdr:rowOff>63500</xdr:rowOff>
    </xdr:from>
    <xdr:to>
      <xdr:col>8</xdr:col>
      <xdr:colOff>522287</xdr:colOff>
      <xdr:row>6</xdr:row>
      <xdr:rowOff>439363</xdr:rowOff>
    </xdr:to>
    <xdr:pic>
      <xdr:nvPicPr>
        <xdr:cNvPr id="9" name="Graphic 16">
          <a:extLst>
            <a:ext uri="{FF2B5EF4-FFF2-40B4-BE49-F238E27FC236}">
              <a16:creationId xmlns:a16="http://schemas.microsoft.com/office/drawing/2014/main" id="{59738222-7A1D-46C5-A4BD-A523ACE2BF0E}"/>
            </a:ext>
          </a:extLst>
        </xdr:cNvPr>
        <xdr:cNvPicPr>
          <a:picLocks noChangeAspect="1"/>
        </xdr:cNvPicPr>
      </xdr:nvPicPr>
      <xdr:blipFill>
        <a:blip xmlns:r="http://schemas.openxmlformats.org/officeDocument/2006/relationships" r:embed="rId6">
          <a:extLst>
            <a:ext uri="{96DAC541-7B7A-43D3-8B79-37D633B846F1}">
              <asvg:svgBlip xmlns:asvg="http://schemas.microsoft.com/office/drawing/2016/SVG/main" r:embed="rId7"/>
            </a:ext>
          </a:extLst>
        </a:blip>
        <a:stretch>
          <a:fillRect/>
        </a:stretch>
      </xdr:blipFill>
      <xdr:spPr>
        <a:xfrm>
          <a:off x="9667875" y="1524000"/>
          <a:ext cx="1419225" cy="375863"/>
        </a:xfrm>
        <a:prstGeom prst="rect">
          <a:avLst/>
        </a:prstGeom>
      </xdr:spPr>
    </xdr:pic>
    <xdr:clientData/>
  </xdr:twoCellAnchor>
  <xdr:twoCellAnchor editAs="oneCell">
    <xdr:from>
      <xdr:col>11</xdr:col>
      <xdr:colOff>95250</xdr:colOff>
      <xdr:row>1</xdr:row>
      <xdr:rowOff>95250</xdr:rowOff>
    </xdr:from>
    <xdr:to>
      <xdr:col>12</xdr:col>
      <xdr:colOff>73591</xdr:colOff>
      <xdr:row>6</xdr:row>
      <xdr:rowOff>180341</xdr:rowOff>
    </xdr:to>
    <xdr:pic>
      <xdr:nvPicPr>
        <xdr:cNvPr id="15" name="Picture 10">
          <a:extLst>
            <a:ext uri="{FF2B5EF4-FFF2-40B4-BE49-F238E27FC236}">
              <a16:creationId xmlns:a16="http://schemas.microsoft.com/office/drawing/2014/main" id="{39CA2767-2F8A-4F6F-9ABD-B15E63D16AD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509625" y="222250"/>
          <a:ext cx="991801" cy="144145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169545</xdr:colOff>
      <xdr:row>2</xdr:row>
      <xdr:rowOff>65656</xdr:rowOff>
    </xdr:from>
    <xdr:to>
      <xdr:col>4</xdr:col>
      <xdr:colOff>16872</xdr:colOff>
      <xdr:row>6</xdr:row>
      <xdr:rowOff>16377</xdr:rowOff>
    </xdr:to>
    <xdr:pic>
      <xdr:nvPicPr>
        <xdr:cNvPr id="2" name="Imagen 2" descr="C:\Users\Fernando Rangel\Google Drive\SBTi\SBTi - Core team\Communication Team\Branding\Logos and templates\SBTi logos_\Logos_\SBT copy.gif">
          <a:extLst>
            <a:ext uri="{FF2B5EF4-FFF2-40B4-BE49-F238E27FC236}">
              <a16:creationId xmlns:a16="http://schemas.microsoft.com/office/drawing/2014/main" id="{EAAC4B1B-69CE-4B93-BD4B-35AB572B1B9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8622"/>
        <a:stretch/>
      </xdr:blipFill>
      <xdr:spPr bwMode="auto">
        <a:xfrm>
          <a:off x="412962" y="340823"/>
          <a:ext cx="2518137" cy="1156374"/>
        </a:xfrm>
        <a:prstGeom prst="rect">
          <a:avLst/>
        </a:prstGeom>
        <a:noFill/>
        <a:ln>
          <a:noFill/>
        </a:ln>
        <a:extLst>
          <a:ext uri="{53640926-AAD7-44D8-BBD7-CCE9431645EC}">
            <a14:shadowObscured xmlns:a14="http://schemas.microsoft.com/office/drawing/2010/main"/>
          </a:ext>
        </a:extLst>
      </xdr:spPr>
    </xdr:pic>
    <xdr:clientData/>
  </xdr:twoCellAnchor>
  <xdr:twoCellAnchor>
    <xdr:from>
      <xdr:col>10</xdr:col>
      <xdr:colOff>0</xdr:colOff>
      <xdr:row>6</xdr:row>
      <xdr:rowOff>35278</xdr:rowOff>
    </xdr:from>
    <xdr:to>
      <xdr:col>11</xdr:col>
      <xdr:colOff>579614</xdr:colOff>
      <xdr:row>6</xdr:row>
      <xdr:rowOff>411141</xdr:rowOff>
    </xdr:to>
    <xdr:pic>
      <xdr:nvPicPr>
        <xdr:cNvPr id="4" name="Graphic 16">
          <a:extLst>
            <a:ext uri="{FF2B5EF4-FFF2-40B4-BE49-F238E27FC236}">
              <a16:creationId xmlns:a16="http://schemas.microsoft.com/office/drawing/2014/main" id="{632934D3-807A-4D2D-A2FA-9AB36A13E22C}"/>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9249833" y="1481667"/>
          <a:ext cx="1419225" cy="375863"/>
        </a:xfrm>
        <a:prstGeom prst="rect">
          <a:avLst/>
        </a:prstGeom>
      </xdr:spPr>
    </xdr:pic>
    <xdr:clientData/>
  </xdr:twoCellAnchor>
  <xdr:twoCellAnchor editAs="oneCell">
    <xdr:from>
      <xdr:col>14</xdr:col>
      <xdr:colOff>458611</xdr:colOff>
      <xdr:row>2</xdr:row>
      <xdr:rowOff>127001</xdr:rowOff>
    </xdr:from>
    <xdr:to>
      <xdr:col>15</xdr:col>
      <xdr:colOff>665552</xdr:colOff>
      <xdr:row>6</xdr:row>
      <xdr:rowOff>362587</xdr:rowOff>
    </xdr:to>
    <xdr:pic>
      <xdr:nvPicPr>
        <xdr:cNvPr id="7" name="Picture 6">
          <a:extLst>
            <a:ext uri="{FF2B5EF4-FFF2-40B4-BE49-F238E27FC236}">
              <a16:creationId xmlns:a16="http://schemas.microsoft.com/office/drawing/2014/main" id="{822769F5-3C01-4654-9D37-9740C10C288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066889" y="381001"/>
          <a:ext cx="991801" cy="1441451"/>
        </a:xfrm>
        <a:prstGeom prst="rect">
          <a:avLst/>
        </a:prstGeom>
      </xdr:spPr>
    </xdr:pic>
    <xdr:clientData/>
  </xdr:twoCellAnchor>
</xdr:wsDr>
</file>

<file path=xl/theme/theme1.xml><?xml version="1.0" encoding="utf-8"?>
<a:theme xmlns:a="http://schemas.openxmlformats.org/drawingml/2006/main" name="Office Theme">
  <a:themeElements>
    <a:clrScheme name="Navigant">
      <a:dk1>
        <a:srgbClr val="555759"/>
      </a:dk1>
      <a:lt1>
        <a:sysClr val="window" lastClr="FFFFFF"/>
      </a:lt1>
      <a:dk2>
        <a:srgbClr val="555759"/>
      </a:dk2>
      <a:lt2>
        <a:srgbClr val="FFFFFF"/>
      </a:lt2>
      <a:accent1>
        <a:srgbClr val="555759"/>
      </a:accent1>
      <a:accent2>
        <a:srgbClr val="95D600"/>
      </a:accent2>
      <a:accent3>
        <a:srgbClr val="0093C9"/>
      </a:accent3>
      <a:accent4>
        <a:srgbClr val="FFB718"/>
      </a:accent4>
      <a:accent5>
        <a:srgbClr val="E53C2E"/>
      </a:accent5>
      <a:accent6>
        <a:srgbClr val="8B189B"/>
      </a:accent6>
      <a:hlink>
        <a:srgbClr val="85D206"/>
      </a:hlink>
      <a:folHlink>
        <a:srgbClr val="648C1A"/>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rbonaccountingfinancials.com/" TargetMode="External"/><Relationship Id="rId2" Type="http://schemas.openxmlformats.org/officeDocument/2006/relationships/hyperlink" Target="https://www.iea.org/reports/energy-technology-perspectives-2017" TargetMode="External"/><Relationship Id="rId1" Type="http://schemas.openxmlformats.org/officeDocument/2006/relationships/hyperlink" Target="mailto:info@sciencebasedtargets.or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info@sciencebasedtargets.org"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carbonaccountingfinancials.com/" TargetMode="External"/><Relationship Id="rId2" Type="http://schemas.openxmlformats.org/officeDocument/2006/relationships/hyperlink" Target="https://sciencebasedtargets.org/financial-institutions-2-2/" TargetMode="External"/><Relationship Id="rId1" Type="http://schemas.openxmlformats.org/officeDocument/2006/relationships/hyperlink" Target="mailto:info@sciencebasedtargets.org" TargetMode="External"/><Relationship Id="rId5" Type="http://schemas.openxmlformats.org/officeDocument/2006/relationships/drawing" Target="../drawings/drawing3.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mailto:info@sciencebasedtargets.org"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sciencebasedtargets.org/wp-content/uploads/2015/05/Sectoral-Decarbonization-Approach-Report.pdf" TargetMode="External"/><Relationship Id="rId1" Type="http://schemas.openxmlformats.org/officeDocument/2006/relationships/hyperlink" Target="mailto:info@sciencebasedtargets.org"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mailto:info@sciencebasedtarget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925B4-D9AA-4349-AD1D-511801AD1754}">
  <sheetPr>
    <tabColor theme="7"/>
  </sheetPr>
  <dimension ref="A1:P53"/>
  <sheetViews>
    <sheetView showGridLines="0" tabSelected="1" zoomScaleNormal="100" workbookViewId="0">
      <selection activeCell="B9" sqref="B9:O9"/>
    </sheetView>
  </sheetViews>
  <sheetFormatPr defaultColWidth="9.109375" defaultRowHeight="10" x14ac:dyDescent="0.2"/>
  <cols>
    <col min="1" max="1" width="5.6640625" style="28" customWidth="1"/>
    <col min="2" max="5" width="15.6640625" style="28" customWidth="1"/>
    <col min="6" max="6" width="13.33203125" style="28" customWidth="1"/>
    <col min="7" max="15" width="15.6640625" style="28" customWidth="1"/>
    <col min="16" max="16384" width="9.109375" style="28"/>
  </cols>
  <sheetData>
    <row r="1" spans="1:16" ht="10.25" customHeight="1" x14ac:dyDescent="0.2"/>
    <row r="2" spans="1:16" s="2" customFormat="1" ht="10.25" customHeight="1" x14ac:dyDescent="0.2"/>
    <row r="3" spans="1:16" ht="58.25" customHeight="1" x14ac:dyDescent="0.2">
      <c r="F3" s="187" t="s">
        <v>106</v>
      </c>
      <c r="G3" s="187"/>
      <c r="H3" s="187"/>
      <c r="I3" s="187"/>
      <c r="J3" s="187"/>
      <c r="K3" s="187"/>
      <c r="L3" s="187"/>
      <c r="M3" s="187"/>
      <c r="N3" s="187"/>
      <c r="O3" s="187"/>
      <c r="P3" s="69"/>
    </row>
    <row r="4" spans="1:16" ht="20" customHeight="1" x14ac:dyDescent="0.25">
      <c r="F4" s="36"/>
      <c r="G4" s="36"/>
      <c r="H4" s="36"/>
      <c r="I4" s="36"/>
      <c r="J4" s="36"/>
      <c r="K4" s="36"/>
      <c r="L4" s="36"/>
      <c r="M4" s="36"/>
      <c r="N4" s="36"/>
      <c r="O4" s="36"/>
    </row>
    <row r="5" spans="1:16" ht="20" customHeight="1" x14ac:dyDescent="0.25">
      <c r="F5" s="37" t="s">
        <v>35</v>
      </c>
      <c r="G5" s="38"/>
      <c r="H5" s="38" t="s">
        <v>165</v>
      </c>
      <c r="I5" s="36"/>
      <c r="J5" s="36"/>
      <c r="K5" s="36"/>
      <c r="L5" s="36"/>
      <c r="M5" s="36"/>
      <c r="N5" s="36"/>
      <c r="O5" s="36"/>
    </row>
    <row r="6" spans="1:16" ht="20" customHeight="1" x14ac:dyDescent="0.25">
      <c r="F6" s="37" t="s">
        <v>36</v>
      </c>
      <c r="G6" s="39"/>
      <c r="H6" s="31" t="s">
        <v>39</v>
      </c>
      <c r="I6" s="36"/>
      <c r="J6" s="36"/>
      <c r="K6" s="36"/>
      <c r="L6" s="36"/>
      <c r="M6" s="36"/>
      <c r="N6" s="36"/>
      <c r="O6" s="36"/>
    </row>
    <row r="7" spans="1:16" ht="38.75" customHeight="1" x14ac:dyDescent="0.2">
      <c r="F7" s="169" t="s">
        <v>157</v>
      </c>
    </row>
    <row r="8" spans="1:16" ht="20" customHeight="1" x14ac:dyDescent="0.2">
      <c r="B8" s="51"/>
      <c r="C8" s="51"/>
      <c r="D8" s="51"/>
      <c r="E8" s="51"/>
      <c r="F8" s="51"/>
      <c r="G8" s="51"/>
      <c r="H8" s="51"/>
      <c r="I8" s="51"/>
      <c r="J8" s="51"/>
      <c r="K8" s="51"/>
      <c r="L8" s="51"/>
      <c r="M8" s="51"/>
      <c r="N8" s="51"/>
      <c r="O8" s="51"/>
    </row>
    <row r="9" spans="1:16" ht="20" customHeight="1" x14ac:dyDescent="0.2">
      <c r="B9" s="188" t="s">
        <v>40</v>
      </c>
      <c r="C9" s="188"/>
      <c r="D9" s="188"/>
      <c r="E9" s="188"/>
      <c r="F9" s="188"/>
      <c r="G9" s="188"/>
      <c r="H9" s="188"/>
      <c r="I9" s="188"/>
      <c r="J9" s="188"/>
      <c r="K9" s="188"/>
      <c r="L9" s="188"/>
      <c r="M9" s="188"/>
      <c r="N9" s="188"/>
      <c r="O9" s="188"/>
    </row>
    <row r="10" spans="1:16" ht="12.5" x14ac:dyDescent="0.2">
      <c r="B10" s="41"/>
      <c r="C10" s="41"/>
      <c r="D10" s="41"/>
      <c r="E10" s="41"/>
      <c r="F10" s="41"/>
      <c r="G10" s="41"/>
      <c r="H10" s="41"/>
      <c r="I10" s="41"/>
      <c r="J10" s="41"/>
      <c r="K10" s="41"/>
      <c r="L10" s="41"/>
      <c r="M10" s="41"/>
      <c r="N10" s="41"/>
      <c r="O10" s="41"/>
    </row>
    <row r="11" spans="1:16" ht="25.25" customHeight="1" x14ac:dyDescent="0.2">
      <c r="A11" s="3"/>
      <c r="B11" s="42" t="s">
        <v>41</v>
      </c>
      <c r="C11" s="43"/>
      <c r="D11" s="43"/>
      <c r="E11" s="43"/>
      <c r="F11" s="43"/>
      <c r="G11" s="43"/>
      <c r="H11" s="43"/>
      <c r="I11" s="43"/>
      <c r="J11" s="43"/>
      <c r="K11" s="43"/>
      <c r="L11" s="43"/>
      <c r="M11" s="43"/>
      <c r="N11" s="43"/>
      <c r="O11" s="43"/>
    </row>
    <row r="12" spans="1:16" ht="35" customHeight="1" x14ac:dyDescent="0.2">
      <c r="A12" s="3"/>
      <c r="B12" s="189" t="s">
        <v>153</v>
      </c>
      <c r="C12" s="190"/>
      <c r="D12" s="190"/>
      <c r="E12" s="190"/>
      <c r="F12" s="190"/>
      <c r="G12" s="190"/>
      <c r="H12" s="190"/>
      <c r="I12" s="190"/>
      <c r="J12" s="190"/>
      <c r="K12" s="190"/>
      <c r="L12" s="190"/>
      <c r="M12" s="190"/>
      <c r="N12" s="190"/>
      <c r="O12" s="190"/>
    </row>
    <row r="13" spans="1:16" ht="35" customHeight="1" x14ac:dyDescent="0.2">
      <c r="A13" s="3"/>
      <c r="B13" s="191"/>
      <c r="C13" s="191"/>
      <c r="D13" s="191"/>
      <c r="E13" s="191"/>
      <c r="F13" s="191"/>
      <c r="G13" s="191"/>
      <c r="H13" s="191"/>
      <c r="I13" s="191"/>
      <c r="J13" s="191"/>
      <c r="K13" s="191"/>
      <c r="L13" s="191"/>
      <c r="M13" s="191"/>
      <c r="N13" s="191"/>
      <c r="O13" s="191"/>
    </row>
    <row r="14" spans="1:16" ht="35" customHeight="1" x14ac:dyDescent="0.2">
      <c r="A14" s="3"/>
      <c r="B14" s="191"/>
      <c r="C14" s="191"/>
      <c r="D14" s="191"/>
      <c r="E14" s="191"/>
      <c r="F14" s="191"/>
      <c r="G14" s="191"/>
      <c r="H14" s="191"/>
      <c r="I14" s="191"/>
      <c r="J14" s="191"/>
      <c r="K14" s="191"/>
      <c r="L14" s="191"/>
      <c r="M14" s="191"/>
      <c r="N14" s="191"/>
      <c r="O14" s="191"/>
    </row>
    <row r="15" spans="1:16" ht="35" customHeight="1" x14ac:dyDescent="0.2">
      <c r="B15" s="191"/>
      <c r="C15" s="191"/>
      <c r="D15" s="191"/>
      <c r="E15" s="191"/>
      <c r="F15" s="191"/>
      <c r="G15" s="191"/>
      <c r="H15" s="191"/>
      <c r="I15" s="191"/>
      <c r="J15" s="191"/>
      <c r="K15" s="191"/>
      <c r="L15" s="191"/>
      <c r="M15" s="191"/>
      <c r="N15" s="191"/>
      <c r="O15" s="191"/>
    </row>
    <row r="16" spans="1:16" ht="19.25" customHeight="1" x14ac:dyDescent="0.2">
      <c r="B16" s="44"/>
      <c r="C16" s="44"/>
      <c r="D16" s="44"/>
      <c r="E16" s="44"/>
      <c r="F16" s="44"/>
      <c r="G16" s="44"/>
      <c r="H16" s="44"/>
      <c r="I16" s="44"/>
      <c r="J16" s="44"/>
      <c r="K16" s="44"/>
      <c r="L16" s="44"/>
      <c r="M16" s="44"/>
      <c r="N16" s="44"/>
      <c r="O16" s="44"/>
    </row>
    <row r="17" spans="2:15" ht="25.25" customHeight="1" x14ac:dyDescent="0.2">
      <c r="B17" s="42" t="s">
        <v>42</v>
      </c>
      <c r="C17" s="45"/>
      <c r="D17" s="45"/>
      <c r="E17" s="45"/>
      <c r="F17" s="45"/>
      <c r="G17" s="45"/>
      <c r="H17" s="45"/>
      <c r="I17" s="45"/>
      <c r="J17" s="45"/>
      <c r="K17" s="45"/>
      <c r="L17" s="45"/>
      <c r="M17" s="45"/>
      <c r="N17" s="45"/>
      <c r="O17" s="45"/>
    </row>
    <row r="18" spans="2:15" ht="35" customHeight="1" x14ac:dyDescent="0.2">
      <c r="B18" s="189" t="s">
        <v>132</v>
      </c>
      <c r="C18" s="189"/>
      <c r="D18" s="189"/>
      <c r="E18" s="189"/>
      <c r="F18" s="189"/>
      <c r="G18" s="189"/>
      <c r="H18" s="189"/>
      <c r="I18" s="189"/>
      <c r="J18" s="189"/>
      <c r="K18" s="189"/>
      <c r="L18" s="189"/>
      <c r="M18" s="189"/>
      <c r="N18" s="189"/>
      <c r="O18" s="189"/>
    </row>
    <row r="19" spans="2:15" ht="35" customHeight="1" x14ac:dyDescent="0.2">
      <c r="B19" s="192"/>
      <c r="C19" s="192"/>
      <c r="D19" s="192"/>
      <c r="E19" s="192"/>
      <c r="F19" s="192"/>
      <c r="G19" s="192"/>
      <c r="H19" s="192"/>
      <c r="I19" s="192"/>
      <c r="J19" s="192"/>
      <c r="K19" s="192"/>
      <c r="L19" s="192"/>
      <c r="M19" s="192"/>
      <c r="N19" s="192"/>
      <c r="O19" s="192"/>
    </row>
    <row r="20" spans="2:15" ht="35" customHeight="1" x14ac:dyDescent="0.2">
      <c r="B20" s="192"/>
      <c r="C20" s="192"/>
      <c r="D20" s="192"/>
      <c r="E20" s="192"/>
      <c r="F20" s="192"/>
      <c r="G20" s="192"/>
      <c r="H20" s="192"/>
      <c r="I20" s="192"/>
      <c r="J20" s="192"/>
      <c r="K20" s="192"/>
      <c r="L20" s="192"/>
      <c r="M20" s="192"/>
      <c r="N20" s="192"/>
      <c r="O20" s="192"/>
    </row>
    <row r="21" spans="2:15" ht="35" customHeight="1" x14ac:dyDescent="0.2">
      <c r="B21" s="192"/>
      <c r="C21" s="192"/>
      <c r="D21" s="192"/>
      <c r="E21" s="192"/>
      <c r="F21" s="192"/>
      <c r="G21" s="192"/>
      <c r="H21" s="192"/>
      <c r="I21" s="192"/>
      <c r="J21" s="192"/>
      <c r="K21" s="192"/>
      <c r="L21" s="192"/>
      <c r="M21" s="192"/>
      <c r="N21" s="192"/>
      <c r="O21" s="192"/>
    </row>
    <row r="22" spans="2:15" ht="35" customHeight="1" x14ac:dyDescent="0.2">
      <c r="B22" s="192"/>
      <c r="C22" s="192"/>
      <c r="D22" s="192"/>
      <c r="E22" s="192"/>
      <c r="F22" s="192"/>
      <c r="G22" s="192"/>
      <c r="H22" s="192"/>
      <c r="I22" s="192"/>
      <c r="J22" s="192"/>
      <c r="K22" s="192"/>
      <c r="L22" s="192"/>
      <c r="M22" s="192"/>
      <c r="N22" s="192"/>
      <c r="O22" s="192"/>
    </row>
    <row r="23" spans="2:15" ht="47" customHeight="1" x14ac:dyDescent="0.2">
      <c r="B23" s="192"/>
      <c r="C23" s="192"/>
      <c r="D23" s="192"/>
      <c r="E23" s="192"/>
      <c r="F23" s="192"/>
      <c r="G23" s="192"/>
      <c r="H23" s="192"/>
      <c r="I23" s="192"/>
      <c r="J23" s="192"/>
      <c r="K23" s="192"/>
      <c r="L23" s="192"/>
      <c r="M23" s="192"/>
      <c r="N23" s="192"/>
      <c r="O23" s="192"/>
    </row>
    <row r="24" spans="2:15" x14ac:dyDescent="0.2">
      <c r="B24" s="46"/>
      <c r="C24" s="46"/>
      <c r="D24" s="46"/>
      <c r="E24" s="46"/>
      <c r="F24" s="46"/>
      <c r="G24" s="46"/>
      <c r="H24" s="46"/>
      <c r="I24" s="46"/>
      <c r="J24" s="46"/>
      <c r="K24" s="46"/>
      <c r="L24" s="46"/>
      <c r="M24" s="46"/>
      <c r="N24" s="46"/>
      <c r="O24" s="46"/>
    </row>
    <row r="25" spans="2:15" ht="25.25" customHeight="1" x14ac:dyDescent="0.2">
      <c r="B25" s="42" t="s">
        <v>43</v>
      </c>
      <c r="C25" s="45"/>
      <c r="D25" s="45"/>
      <c r="E25" s="45"/>
      <c r="F25" s="45"/>
      <c r="G25" s="45"/>
      <c r="H25" s="45"/>
      <c r="I25" s="45"/>
      <c r="J25" s="45"/>
      <c r="K25" s="45"/>
      <c r="L25" s="45"/>
      <c r="M25" s="45"/>
      <c r="N25" s="45"/>
      <c r="O25" s="45"/>
    </row>
    <row r="26" spans="2:15" ht="26" customHeight="1" x14ac:dyDescent="0.2">
      <c r="B26" s="177" t="s">
        <v>168</v>
      </c>
      <c r="C26" s="178"/>
      <c r="D26" s="178"/>
      <c r="E26" s="178"/>
      <c r="F26" s="178"/>
      <c r="G26" s="178"/>
      <c r="H26" s="178"/>
      <c r="I26" s="178"/>
      <c r="J26" s="178"/>
      <c r="K26" s="178"/>
      <c r="L26" s="178"/>
      <c r="M26" s="178"/>
      <c r="N26" s="178"/>
      <c r="O26" s="178"/>
    </row>
    <row r="27" spans="2:15" ht="21.65" customHeight="1" x14ac:dyDescent="0.2">
      <c r="B27" s="179" t="s">
        <v>75</v>
      </c>
      <c r="C27" s="179"/>
      <c r="D27" s="179"/>
      <c r="E27" s="179"/>
      <c r="F27" s="179"/>
      <c r="G27" s="179"/>
      <c r="H27" s="179"/>
      <c r="I27" s="179"/>
      <c r="J27" s="179"/>
      <c r="K27" s="179"/>
      <c r="L27" s="179"/>
      <c r="M27" s="179"/>
      <c r="N27" s="47"/>
      <c r="O27" s="47"/>
    </row>
    <row r="28" spans="2:15" x14ac:dyDescent="0.2">
      <c r="B28" s="32"/>
      <c r="C28" s="32"/>
      <c r="D28" s="32"/>
      <c r="E28" s="32"/>
      <c r="F28" s="32"/>
      <c r="G28" s="32"/>
      <c r="H28" s="32"/>
      <c r="I28" s="32"/>
      <c r="J28" s="32"/>
      <c r="K28" s="32"/>
      <c r="L28" s="32"/>
      <c r="M28" s="32"/>
      <c r="N28" s="32"/>
      <c r="O28" s="32"/>
    </row>
    <row r="29" spans="2:15" ht="25" x14ac:dyDescent="0.2">
      <c r="B29" s="42" t="s">
        <v>44</v>
      </c>
      <c r="C29" s="45"/>
      <c r="D29" s="45"/>
      <c r="E29" s="45"/>
      <c r="F29" s="45"/>
      <c r="G29" s="45"/>
      <c r="H29" s="45"/>
      <c r="I29" s="45"/>
      <c r="J29" s="45"/>
      <c r="K29" s="45"/>
      <c r="L29" s="45"/>
      <c r="M29" s="45"/>
      <c r="N29" s="45"/>
      <c r="O29" s="45"/>
    </row>
    <row r="30" spans="2:15" x14ac:dyDescent="0.2">
      <c r="B30" s="32"/>
      <c r="C30" s="32"/>
      <c r="D30" s="32"/>
      <c r="E30" s="32"/>
      <c r="F30" s="32"/>
      <c r="G30" s="32"/>
      <c r="H30" s="32"/>
      <c r="I30" s="32"/>
      <c r="J30" s="32"/>
      <c r="K30" s="32"/>
      <c r="L30" s="32"/>
      <c r="M30" s="32"/>
      <c r="N30" s="32"/>
      <c r="O30" s="32"/>
    </row>
    <row r="31" spans="2:15" ht="13.5" thickBot="1" x14ac:dyDescent="0.25">
      <c r="B31" s="48" t="s">
        <v>37</v>
      </c>
      <c r="C31" s="180" t="s">
        <v>45</v>
      </c>
      <c r="D31" s="181"/>
      <c r="E31" s="180" t="s">
        <v>46</v>
      </c>
      <c r="F31" s="182"/>
      <c r="G31" s="182"/>
      <c r="H31" s="182"/>
      <c r="I31" s="182"/>
      <c r="J31" s="182"/>
      <c r="K31" s="182"/>
      <c r="L31" s="182"/>
      <c r="M31" s="182"/>
      <c r="N31" s="182"/>
      <c r="O31" s="182"/>
    </row>
    <row r="32" spans="2:15" ht="13.5" thickTop="1" thickBot="1" x14ac:dyDescent="0.25">
      <c r="B32" s="49" t="s">
        <v>47</v>
      </c>
      <c r="C32" s="199" t="s">
        <v>48</v>
      </c>
      <c r="D32" s="200"/>
      <c r="E32" s="185" t="s">
        <v>49</v>
      </c>
      <c r="F32" s="185"/>
      <c r="G32" s="185"/>
      <c r="H32" s="185"/>
      <c r="I32" s="185"/>
      <c r="J32" s="185"/>
      <c r="K32" s="185"/>
      <c r="L32" s="185"/>
      <c r="M32" s="185"/>
      <c r="N32" s="185"/>
      <c r="O32" s="186"/>
    </row>
    <row r="33" spans="2:15" ht="13.5" thickTop="1" thickBot="1" x14ac:dyDescent="0.25">
      <c r="B33" s="49" t="s">
        <v>50</v>
      </c>
      <c r="C33" s="183">
        <v>44109</v>
      </c>
      <c r="D33" s="184"/>
      <c r="E33" s="185" t="s">
        <v>51</v>
      </c>
      <c r="F33" s="185"/>
      <c r="G33" s="185"/>
      <c r="H33" s="185"/>
      <c r="I33" s="185"/>
      <c r="J33" s="185"/>
      <c r="K33" s="185"/>
      <c r="L33" s="185"/>
      <c r="M33" s="185"/>
      <c r="N33" s="185"/>
      <c r="O33" s="186"/>
    </row>
    <row r="34" spans="2:15" ht="13.5" thickTop="1" thickBot="1" x14ac:dyDescent="0.25">
      <c r="B34" s="49" t="s">
        <v>38</v>
      </c>
      <c r="C34" s="183">
        <v>44131</v>
      </c>
      <c r="D34" s="184"/>
      <c r="E34" s="185" t="s">
        <v>63</v>
      </c>
      <c r="F34" s="185"/>
      <c r="G34" s="185"/>
      <c r="H34" s="185"/>
      <c r="I34" s="185"/>
      <c r="J34" s="185"/>
      <c r="K34" s="185"/>
      <c r="L34" s="185"/>
      <c r="M34" s="185"/>
      <c r="N34" s="185"/>
      <c r="O34" s="186"/>
    </row>
    <row r="35" spans="2:15" s="29" customFormat="1" ht="13" thickTop="1" x14ac:dyDescent="0.2">
      <c r="B35" s="175" t="s">
        <v>165</v>
      </c>
      <c r="C35" s="183">
        <v>44259</v>
      </c>
      <c r="D35" s="184"/>
      <c r="E35" s="185" t="s">
        <v>169</v>
      </c>
      <c r="F35" s="185"/>
      <c r="G35" s="185"/>
      <c r="H35" s="185"/>
      <c r="I35" s="185"/>
      <c r="J35" s="185"/>
      <c r="K35" s="185"/>
      <c r="L35" s="185"/>
      <c r="M35" s="185"/>
      <c r="N35" s="185"/>
      <c r="O35" s="186"/>
    </row>
    <row r="36" spans="2:15" x14ac:dyDescent="0.2">
      <c r="B36" s="32"/>
      <c r="C36" s="32"/>
      <c r="D36" s="32"/>
      <c r="E36" s="32"/>
      <c r="F36" s="32"/>
      <c r="G36" s="32"/>
      <c r="H36" s="32"/>
      <c r="I36" s="32"/>
      <c r="J36" s="32"/>
      <c r="K36" s="32"/>
      <c r="L36" s="32"/>
      <c r="M36" s="32"/>
      <c r="N36" s="32"/>
      <c r="O36" s="32"/>
    </row>
    <row r="37" spans="2:15" ht="25" x14ac:dyDescent="0.2">
      <c r="B37" s="42" t="s">
        <v>52</v>
      </c>
      <c r="C37" s="45"/>
      <c r="D37" s="45"/>
      <c r="E37" s="45"/>
      <c r="F37" s="45"/>
      <c r="G37" s="45"/>
      <c r="H37" s="45"/>
      <c r="I37" s="45"/>
      <c r="J37" s="45"/>
      <c r="K37" s="45"/>
      <c r="L37" s="45"/>
      <c r="M37" s="45"/>
      <c r="N37" s="45"/>
      <c r="O37" s="45"/>
    </row>
    <row r="38" spans="2:15" x14ac:dyDescent="0.2">
      <c r="B38" s="32"/>
      <c r="C38" s="32"/>
      <c r="D38" s="32"/>
      <c r="E38" s="32"/>
      <c r="F38" s="32"/>
      <c r="G38" s="32"/>
      <c r="H38" s="32"/>
      <c r="I38" s="32"/>
      <c r="J38" s="32"/>
      <c r="K38" s="32"/>
      <c r="L38" s="32"/>
      <c r="M38" s="32"/>
      <c r="N38" s="32"/>
      <c r="O38" s="32"/>
    </row>
    <row r="39" spans="2:15" ht="13.5" thickBot="1" x14ac:dyDescent="0.25">
      <c r="B39" s="48" t="s">
        <v>53</v>
      </c>
      <c r="C39" s="195" t="s">
        <v>54</v>
      </c>
      <c r="D39" s="196"/>
      <c r="E39" s="196"/>
      <c r="F39" s="196"/>
      <c r="G39" s="196"/>
      <c r="H39" s="196"/>
      <c r="I39" s="196"/>
      <c r="J39" s="196"/>
      <c r="K39" s="196"/>
      <c r="L39" s="196"/>
      <c r="M39" s="196"/>
      <c r="N39" s="196"/>
      <c r="O39" s="196"/>
    </row>
    <row r="40" spans="2:15" ht="14" thickTop="1" thickBot="1" x14ac:dyDescent="0.25">
      <c r="B40" s="50" t="s">
        <v>55</v>
      </c>
      <c r="C40" s="195" t="s">
        <v>56</v>
      </c>
      <c r="D40" s="196"/>
      <c r="E40" s="196"/>
      <c r="F40" s="196"/>
      <c r="G40" s="196"/>
      <c r="H40" s="196"/>
      <c r="I40" s="196"/>
      <c r="J40" s="196"/>
      <c r="K40" s="196"/>
      <c r="L40" s="196"/>
      <c r="M40" s="196"/>
      <c r="N40" s="196"/>
      <c r="O40" s="196"/>
    </row>
    <row r="41" spans="2:15" ht="14" thickTop="1" thickBot="1" x14ac:dyDescent="0.25">
      <c r="B41" s="50" t="s">
        <v>57</v>
      </c>
      <c r="C41" s="195" t="s">
        <v>58</v>
      </c>
      <c r="D41" s="196"/>
      <c r="E41" s="196"/>
      <c r="F41" s="196"/>
      <c r="G41" s="196"/>
      <c r="H41" s="196"/>
      <c r="I41" s="196"/>
      <c r="J41" s="196"/>
      <c r="K41" s="196"/>
      <c r="L41" s="196"/>
      <c r="M41" s="196"/>
      <c r="N41" s="196"/>
      <c r="O41" s="196"/>
    </row>
    <row r="42" spans="2:15" ht="14" thickTop="1" thickBot="1" x14ac:dyDescent="0.25">
      <c r="B42" s="50" t="s">
        <v>59</v>
      </c>
      <c r="C42" s="195" t="s">
        <v>60</v>
      </c>
      <c r="D42" s="196"/>
      <c r="E42" s="196"/>
      <c r="F42" s="196"/>
      <c r="G42" s="196"/>
      <c r="H42" s="196"/>
      <c r="I42" s="196"/>
      <c r="J42" s="196"/>
      <c r="K42" s="196"/>
      <c r="L42" s="196"/>
      <c r="M42" s="196"/>
      <c r="N42" s="196"/>
      <c r="O42" s="196"/>
    </row>
    <row r="43" spans="2:15" ht="16" thickTop="1" thickBot="1" x14ac:dyDescent="0.25">
      <c r="B43" s="50" t="s">
        <v>64</v>
      </c>
      <c r="C43" s="195" t="s">
        <v>61</v>
      </c>
      <c r="D43" s="196"/>
      <c r="E43" s="196"/>
      <c r="F43" s="196"/>
      <c r="G43" s="196"/>
      <c r="H43" s="196"/>
      <c r="I43" s="196"/>
      <c r="J43" s="196"/>
      <c r="K43" s="196"/>
      <c r="L43" s="196"/>
      <c r="M43" s="196"/>
      <c r="N43" s="196"/>
      <c r="O43" s="196"/>
    </row>
    <row r="44" spans="2:15" ht="16" thickTop="1" thickBot="1" x14ac:dyDescent="0.25">
      <c r="B44" s="50" t="s">
        <v>65</v>
      </c>
      <c r="C44" s="197" t="s">
        <v>62</v>
      </c>
      <c r="D44" s="198"/>
      <c r="E44" s="198"/>
      <c r="F44" s="198"/>
      <c r="G44" s="198"/>
      <c r="H44" s="198"/>
      <c r="I44" s="198"/>
      <c r="J44" s="198"/>
      <c r="K44" s="198"/>
      <c r="L44" s="198"/>
      <c r="M44" s="198"/>
      <c r="N44" s="198"/>
      <c r="O44" s="198"/>
    </row>
    <row r="45" spans="2:15" ht="10.5" thickTop="1" x14ac:dyDescent="0.2"/>
    <row r="46" spans="2:15" ht="54" customHeight="1" x14ac:dyDescent="0.2">
      <c r="B46" s="194" t="s">
        <v>66</v>
      </c>
      <c r="C46" s="194"/>
      <c r="D46" s="194"/>
      <c r="E46" s="194"/>
      <c r="F46" s="194"/>
      <c r="G46" s="194"/>
      <c r="H46" s="194"/>
      <c r="I46" s="194"/>
      <c r="J46" s="194"/>
      <c r="K46" s="194"/>
      <c r="L46" s="194"/>
      <c r="M46" s="194"/>
      <c r="N46" s="194"/>
      <c r="O46" s="194"/>
    </row>
    <row r="47" spans="2:15" ht="65" customHeight="1" x14ac:dyDescent="0.2">
      <c r="B47" s="189" t="s">
        <v>127</v>
      </c>
      <c r="C47" s="189"/>
      <c r="D47" s="189"/>
      <c r="E47" s="189"/>
      <c r="F47" s="189"/>
      <c r="G47" s="189"/>
      <c r="H47" s="189"/>
      <c r="I47" s="189"/>
      <c r="J47" s="189"/>
      <c r="K47" s="189"/>
      <c r="L47" s="189"/>
      <c r="M47" s="189"/>
      <c r="N47" s="189"/>
      <c r="O47" s="189"/>
    </row>
    <row r="48" spans="2:15" ht="65" customHeight="1" x14ac:dyDescent="0.2">
      <c r="B48" s="193"/>
      <c r="C48" s="193"/>
      <c r="D48" s="193"/>
      <c r="E48" s="193"/>
      <c r="F48" s="193"/>
      <c r="G48" s="193"/>
      <c r="H48" s="193"/>
      <c r="I48" s="193"/>
      <c r="J48" s="193"/>
      <c r="K48" s="193"/>
      <c r="L48" s="193"/>
      <c r="M48" s="193"/>
      <c r="N48" s="193"/>
      <c r="O48" s="193"/>
    </row>
    <row r="49" spans="2:15" ht="65" customHeight="1" x14ac:dyDescent="0.2">
      <c r="B49" s="193"/>
      <c r="C49" s="193"/>
      <c r="D49" s="193"/>
      <c r="E49" s="193"/>
      <c r="F49" s="193"/>
      <c r="G49" s="193"/>
      <c r="H49" s="193"/>
      <c r="I49" s="193"/>
      <c r="J49" s="193"/>
      <c r="K49" s="193"/>
      <c r="L49" s="193"/>
      <c r="M49" s="193"/>
      <c r="N49" s="193"/>
      <c r="O49" s="193"/>
    </row>
    <row r="50" spans="2:15" ht="65" customHeight="1" x14ac:dyDescent="0.2">
      <c r="B50" s="193"/>
      <c r="C50" s="193"/>
      <c r="D50" s="193"/>
      <c r="E50" s="193"/>
      <c r="F50" s="193"/>
      <c r="G50" s="193"/>
      <c r="H50" s="193"/>
      <c r="I50" s="193"/>
      <c r="J50" s="193"/>
      <c r="K50" s="193"/>
      <c r="L50" s="193"/>
      <c r="M50" s="193"/>
      <c r="N50" s="193"/>
      <c r="O50" s="193"/>
    </row>
    <row r="51" spans="2:15" ht="65" customHeight="1" x14ac:dyDescent="0.2">
      <c r="B51" s="193"/>
      <c r="C51" s="193"/>
      <c r="D51" s="193"/>
      <c r="E51" s="193"/>
      <c r="F51" s="193"/>
      <c r="G51" s="193"/>
      <c r="H51" s="193"/>
      <c r="I51" s="193"/>
      <c r="J51" s="193"/>
      <c r="K51" s="193"/>
      <c r="L51" s="193"/>
      <c r="M51" s="193"/>
      <c r="N51" s="193"/>
      <c r="O51" s="193"/>
    </row>
    <row r="52" spans="2:15" ht="46.25" customHeight="1" x14ac:dyDescent="0.2">
      <c r="B52" s="193"/>
      <c r="C52" s="193"/>
      <c r="D52" s="193"/>
      <c r="E52" s="193"/>
      <c r="F52" s="193"/>
      <c r="G52" s="193"/>
      <c r="H52" s="193"/>
      <c r="I52" s="193"/>
      <c r="J52" s="193"/>
      <c r="K52" s="193"/>
      <c r="L52" s="193"/>
      <c r="M52" s="193"/>
      <c r="N52" s="193"/>
      <c r="O52" s="193"/>
    </row>
    <row r="53" spans="2:15" ht="11.5" customHeight="1" x14ac:dyDescent="0.25">
      <c r="B53" s="176" t="s">
        <v>154</v>
      </c>
      <c r="C53" s="176"/>
      <c r="D53" s="176"/>
      <c r="E53" s="176"/>
      <c r="F53" s="176"/>
      <c r="G53" s="167" t="s">
        <v>155</v>
      </c>
      <c r="H53" s="166"/>
      <c r="I53" s="166"/>
      <c r="J53" s="166"/>
      <c r="K53" s="166"/>
      <c r="L53" s="166"/>
      <c r="M53" s="166"/>
      <c r="N53" s="166"/>
      <c r="O53" s="166"/>
    </row>
  </sheetData>
  <sheetProtection algorithmName="SHA-512" hashValue="PCpXCFoSmviVrYwArbEePbSNVh4P7/K/TbV0Rfwb9QE17Zo2TgQoOIBtMiIJJsgwuQtq4+jL0AUYiAFTpII9sQ==" saltValue="hH98UPKNvH+lYBrIdWiUdw==" spinCount="100000" sheet="1" objects="1" scenarios="1"/>
  <mergeCells count="25">
    <mergeCell ref="F3:O3"/>
    <mergeCell ref="B9:O9"/>
    <mergeCell ref="B12:O15"/>
    <mergeCell ref="B18:O23"/>
    <mergeCell ref="B47:O52"/>
    <mergeCell ref="B46:O46"/>
    <mergeCell ref="C43:O43"/>
    <mergeCell ref="C44:O44"/>
    <mergeCell ref="C39:O39"/>
    <mergeCell ref="C40:O40"/>
    <mergeCell ref="C41:O41"/>
    <mergeCell ref="C42:O42"/>
    <mergeCell ref="C32:D32"/>
    <mergeCell ref="E32:O32"/>
    <mergeCell ref="C33:D33"/>
    <mergeCell ref="B53:F53"/>
    <mergeCell ref="B26:O26"/>
    <mergeCell ref="B27:M27"/>
    <mergeCell ref="C31:D31"/>
    <mergeCell ref="E31:O31"/>
    <mergeCell ref="C34:D34"/>
    <mergeCell ref="E34:O34"/>
    <mergeCell ref="E33:O33"/>
    <mergeCell ref="C35:D35"/>
    <mergeCell ref="E35:O35"/>
  </mergeCells>
  <hyperlinks>
    <hyperlink ref="H6" r:id="rId1" xr:uid="{1AC0D1C5-C0B4-4280-B0AC-35A9DB26E0D1}"/>
    <hyperlink ref="B27" r:id="rId2" xr:uid="{A405753B-7CFA-4615-B556-96D48E90169F}"/>
    <hyperlink ref="G53" r:id="rId3" xr:uid="{E7C7B91A-86F8-42DA-BA88-4F4E588BC700}"/>
  </hyperlinks>
  <pageMargins left="0.7" right="0.7" top="0.75" bottom="0.75" header="0.3" footer="0.3"/>
  <pageSetup paperSize="9" orientation="portrait"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CB4A2-7719-4201-AB44-F7835CB4FD51}">
  <sheetPr>
    <tabColor rgb="FFFFC000"/>
  </sheetPr>
  <dimension ref="B2:T28"/>
  <sheetViews>
    <sheetView zoomScaleNormal="100" workbookViewId="0"/>
  </sheetViews>
  <sheetFormatPr defaultColWidth="14.6640625" defaultRowHeight="10" x14ac:dyDescent="0.2"/>
  <cols>
    <col min="1" max="1" width="4.44140625" style="32" customWidth="1"/>
    <col min="2" max="4" width="14.6640625" style="32" customWidth="1"/>
    <col min="5" max="16384" width="14.6640625" style="32"/>
  </cols>
  <sheetData>
    <row r="2" spans="2:20" s="101" customFormat="1" x14ac:dyDescent="0.2"/>
    <row r="3" spans="2:20" ht="59" customHeight="1" x14ac:dyDescent="0.2">
      <c r="F3" s="201" t="s">
        <v>108</v>
      </c>
      <c r="G3" s="201"/>
      <c r="H3" s="201"/>
      <c r="I3" s="201"/>
      <c r="J3" s="201"/>
      <c r="K3" s="201"/>
      <c r="L3" s="201"/>
      <c r="M3" s="145"/>
      <c r="N3" s="145"/>
      <c r="O3" s="145"/>
      <c r="P3" s="145"/>
      <c r="Q3" s="52"/>
      <c r="R3" s="52"/>
      <c r="S3" s="52"/>
      <c r="T3" s="52"/>
    </row>
    <row r="5" spans="2:20" ht="13" x14ac:dyDescent="0.2">
      <c r="G5" s="33" t="s">
        <v>35</v>
      </c>
      <c r="H5" s="34"/>
      <c r="I5" s="34" t="str">
        <f>README!H5</f>
        <v>Version 1.2</v>
      </c>
    </row>
    <row r="6" spans="2:20" ht="13" x14ac:dyDescent="0.2">
      <c r="G6" s="33" t="s">
        <v>36</v>
      </c>
      <c r="H6" s="35"/>
      <c r="I6" s="31" t="s">
        <v>39</v>
      </c>
    </row>
    <row r="7" spans="2:20" ht="31.25" customHeight="1" x14ac:dyDescent="0.35">
      <c r="B7" s="53"/>
      <c r="C7" s="53"/>
      <c r="D7" s="53"/>
      <c r="E7" s="53"/>
      <c r="F7" s="53"/>
      <c r="G7" s="171" t="s">
        <v>157</v>
      </c>
      <c r="H7" s="53"/>
      <c r="I7" s="53"/>
      <c r="J7" s="53"/>
      <c r="K7" s="53"/>
      <c r="L7" s="53"/>
      <c r="M7" s="53"/>
      <c r="N7" s="53"/>
      <c r="O7" s="53"/>
      <c r="P7" s="53"/>
    </row>
    <row r="8" spans="2:20" ht="15.5" x14ac:dyDescent="0.2">
      <c r="B8" s="40"/>
      <c r="C8" s="40"/>
      <c r="D8" s="40"/>
      <c r="E8" s="40"/>
      <c r="F8" s="40"/>
      <c r="G8" s="40"/>
      <c r="H8" s="40"/>
      <c r="I8" s="40"/>
      <c r="J8" s="40"/>
      <c r="K8" s="40"/>
      <c r="L8" s="40"/>
      <c r="M8" s="40"/>
      <c r="N8" s="40"/>
      <c r="O8" s="40"/>
      <c r="P8" s="40"/>
    </row>
    <row r="9" spans="2:20" ht="25" x14ac:dyDescent="0.2">
      <c r="B9" s="54" t="s">
        <v>67</v>
      </c>
      <c r="C9" s="55"/>
      <c r="D9" s="55"/>
      <c r="E9" s="55"/>
      <c r="F9" s="55"/>
      <c r="G9" s="55"/>
      <c r="H9" s="55"/>
      <c r="I9" s="55"/>
      <c r="J9" s="55"/>
      <c r="K9" s="55"/>
      <c r="L9" s="55"/>
      <c r="M9" s="55"/>
      <c r="N9" s="55"/>
      <c r="O9" s="55"/>
      <c r="P9" s="55"/>
    </row>
    <row r="10" spans="2:20" s="56" customFormat="1" ht="12.5" x14ac:dyDescent="0.25">
      <c r="B10" s="41"/>
      <c r="C10" s="41"/>
      <c r="D10" s="41"/>
      <c r="E10" s="41"/>
      <c r="F10" s="41"/>
      <c r="G10" s="41"/>
      <c r="H10" s="41"/>
      <c r="I10" s="41"/>
      <c r="J10" s="41"/>
      <c r="K10" s="41"/>
      <c r="L10" s="41"/>
      <c r="M10" s="41"/>
      <c r="N10" s="41"/>
      <c r="O10" s="41"/>
      <c r="P10" s="41"/>
    </row>
    <row r="11" spans="2:20" ht="25" x14ac:dyDescent="0.2">
      <c r="B11" s="57" t="s">
        <v>68</v>
      </c>
      <c r="C11" s="58"/>
      <c r="D11" s="58"/>
      <c r="E11" s="58"/>
      <c r="F11" s="58"/>
      <c r="G11" s="58"/>
      <c r="H11" s="58"/>
      <c r="I11" s="58"/>
      <c r="J11" s="58"/>
      <c r="K11" s="58"/>
      <c r="L11" s="58"/>
      <c r="M11" s="58"/>
      <c r="N11" s="58"/>
      <c r="O11" s="58"/>
      <c r="P11" s="58"/>
    </row>
    <row r="12" spans="2:20" ht="25" x14ac:dyDescent="0.2">
      <c r="B12" s="57"/>
      <c r="C12" s="58"/>
      <c r="D12" s="58"/>
      <c r="E12" s="58"/>
      <c r="F12" s="58"/>
      <c r="G12" s="58"/>
      <c r="H12" s="58"/>
      <c r="I12" s="58"/>
      <c r="J12" s="58"/>
      <c r="K12" s="58"/>
      <c r="L12" s="58"/>
      <c r="M12" s="58"/>
      <c r="N12" s="58"/>
      <c r="O12" s="58"/>
      <c r="P12" s="58"/>
    </row>
    <row r="13" spans="2:20" s="34" customFormat="1" ht="15.65" customHeight="1" x14ac:dyDescent="0.2">
      <c r="B13" s="204" t="s">
        <v>69</v>
      </c>
      <c r="C13" s="204"/>
      <c r="D13" s="204"/>
      <c r="E13" s="59"/>
      <c r="F13" s="205" t="s">
        <v>156</v>
      </c>
      <c r="G13" s="205"/>
      <c r="H13" s="205"/>
      <c r="I13" s="60"/>
      <c r="J13" s="206" t="s">
        <v>70</v>
      </c>
      <c r="K13" s="206"/>
      <c r="L13" s="206"/>
      <c r="M13" s="60"/>
    </row>
    <row r="14" spans="2:20" s="34" customFormat="1" ht="31.25" customHeight="1" x14ac:dyDescent="0.2">
      <c r="B14" s="204"/>
      <c r="C14" s="204"/>
      <c r="D14" s="204"/>
      <c r="E14" s="59"/>
      <c r="F14" s="205"/>
      <c r="G14" s="205"/>
      <c r="H14" s="205"/>
      <c r="I14" s="60"/>
      <c r="J14" s="206"/>
      <c r="K14" s="206"/>
      <c r="L14" s="206"/>
      <c r="M14" s="60"/>
    </row>
    <row r="15" spans="2:20" s="34" customFormat="1" ht="30" customHeight="1" x14ac:dyDescent="0.2">
      <c r="B15" s="207" t="s">
        <v>71</v>
      </c>
      <c r="C15" s="207"/>
      <c r="D15" s="207"/>
      <c r="E15" s="61"/>
      <c r="F15" s="208" t="s">
        <v>152</v>
      </c>
      <c r="G15" s="208"/>
      <c r="H15" s="208"/>
      <c r="I15" s="62"/>
      <c r="J15" s="209" t="s">
        <v>128</v>
      </c>
      <c r="K15" s="209"/>
      <c r="L15" s="209"/>
      <c r="M15" s="62"/>
    </row>
    <row r="16" spans="2:20" s="34" customFormat="1" ht="30" customHeight="1" x14ac:dyDescent="0.2">
      <c r="B16" s="207"/>
      <c r="C16" s="207"/>
      <c r="D16" s="207"/>
      <c r="E16" s="61"/>
      <c r="F16" s="208"/>
      <c r="G16" s="208"/>
      <c r="H16" s="208"/>
      <c r="I16" s="62"/>
      <c r="J16" s="209"/>
      <c r="K16" s="209"/>
      <c r="L16" s="209"/>
      <c r="M16" s="62"/>
    </row>
    <row r="17" spans="2:16" ht="42" customHeight="1" x14ac:dyDescent="0.3">
      <c r="B17" s="207"/>
      <c r="C17" s="207"/>
      <c r="D17" s="207"/>
      <c r="E17" s="44"/>
      <c r="F17" s="208"/>
      <c r="G17" s="208"/>
      <c r="H17" s="208"/>
      <c r="I17" s="63"/>
      <c r="J17" s="210" t="s">
        <v>72</v>
      </c>
      <c r="K17" s="210"/>
      <c r="L17" s="210"/>
    </row>
    <row r="18" spans="2:16" ht="14" x14ac:dyDescent="0.2">
      <c r="C18" s="44"/>
      <c r="D18" s="44"/>
      <c r="E18" s="44"/>
      <c r="F18" s="44"/>
      <c r="G18" s="44"/>
      <c r="H18" s="44"/>
      <c r="I18" s="44"/>
      <c r="J18" s="44"/>
      <c r="K18" s="44"/>
      <c r="L18" s="44"/>
      <c r="M18" s="44"/>
    </row>
    <row r="19" spans="2:16" ht="27.65" customHeight="1" x14ac:dyDescent="0.2">
      <c r="B19" s="57" t="s">
        <v>74</v>
      </c>
      <c r="C19" s="44"/>
      <c r="D19" s="44"/>
      <c r="E19" s="44"/>
      <c r="F19" s="44"/>
      <c r="G19" s="44"/>
      <c r="H19" s="44"/>
    </row>
    <row r="20" spans="2:16" ht="25" x14ac:dyDescent="0.2">
      <c r="B20" s="64"/>
      <c r="C20" s="65"/>
      <c r="D20" s="65"/>
      <c r="E20" s="65"/>
      <c r="F20" s="65"/>
      <c r="G20" s="65"/>
      <c r="H20" s="65"/>
      <c r="I20" s="66"/>
      <c r="J20" s="66"/>
      <c r="K20" s="66"/>
      <c r="L20" s="66"/>
      <c r="M20" s="66"/>
      <c r="N20" s="66"/>
      <c r="O20" s="66"/>
      <c r="P20" s="66"/>
    </row>
    <row r="21" spans="2:16" ht="15.5" x14ac:dyDescent="0.35">
      <c r="B21" s="154">
        <v>1</v>
      </c>
      <c r="C21" s="203" t="s">
        <v>159</v>
      </c>
      <c r="D21" s="211"/>
      <c r="E21" s="211"/>
      <c r="F21" s="211"/>
      <c r="G21" s="211"/>
      <c r="H21" s="211"/>
      <c r="I21" s="211"/>
      <c r="J21" s="211"/>
      <c r="K21" s="211"/>
      <c r="L21" s="211"/>
      <c r="M21" s="211"/>
      <c r="N21" s="211"/>
      <c r="O21" s="211"/>
      <c r="P21" s="211"/>
    </row>
    <row r="22" spans="2:16" x14ac:dyDescent="0.2">
      <c r="B22" s="202">
        <v>2</v>
      </c>
      <c r="C22" s="203" t="s">
        <v>73</v>
      </c>
      <c r="D22" s="203"/>
      <c r="E22" s="203"/>
      <c r="F22" s="203"/>
      <c r="G22" s="203"/>
      <c r="H22" s="203"/>
      <c r="I22" s="203"/>
      <c r="J22" s="203"/>
      <c r="K22" s="203"/>
      <c r="L22" s="203"/>
      <c r="M22" s="203"/>
      <c r="N22" s="203"/>
      <c r="O22" s="203"/>
      <c r="P22" s="203"/>
    </row>
    <row r="23" spans="2:16" ht="6.65" customHeight="1" x14ac:dyDescent="0.2">
      <c r="B23" s="202"/>
      <c r="C23" s="203"/>
      <c r="D23" s="203"/>
      <c r="E23" s="203"/>
      <c r="F23" s="203"/>
      <c r="G23" s="203"/>
      <c r="H23" s="203"/>
      <c r="I23" s="203"/>
      <c r="J23" s="203"/>
      <c r="K23" s="203"/>
      <c r="L23" s="203"/>
      <c r="M23" s="203"/>
      <c r="N23" s="203"/>
      <c r="O23" s="203"/>
      <c r="P23" s="203"/>
    </row>
    <row r="24" spans="2:16" ht="32" customHeight="1" x14ac:dyDescent="0.35">
      <c r="B24" s="67">
        <v>3</v>
      </c>
      <c r="C24" s="203" t="s">
        <v>160</v>
      </c>
      <c r="D24" s="203"/>
      <c r="E24" s="203"/>
      <c r="F24" s="203"/>
      <c r="G24" s="203"/>
      <c r="H24" s="203"/>
      <c r="I24" s="203"/>
      <c r="J24" s="203"/>
      <c r="K24" s="203"/>
      <c r="L24" s="203"/>
      <c r="M24" s="203"/>
      <c r="N24" s="203"/>
      <c r="O24" s="203"/>
      <c r="P24" s="68"/>
    </row>
    <row r="25" spans="2:16" ht="49.5" customHeight="1" x14ac:dyDescent="0.35">
      <c r="B25" s="67">
        <v>4</v>
      </c>
      <c r="C25" s="203" t="s">
        <v>164</v>
      </c>
      <c r="D25" s="203"/>
      <c r="E25" s="203"/>
      <c r="F25" s="203"/>
      <c r="G25" s="203"/>
      <c r="H25" s="203"/>
      <c r="I25" s="203"/>
      <c r="J25" s="203"/>
      <c r="K25" s="203"/>
      <c r="L25" s="203"/>
      <c r="M25" s="203"/>
      <c r="N25" s="203"/>
      <c r="O25" s="203"/>
      <c r="P25" s="68"/>
    </row>
    <row r="26" spans="2:16" ht="15.5" x14ac:dyDescent="0.35">
      <c r="B26" s="67">
        <v>5</v>
      </c>
      <c r="C26" s="203" t="s">
        <v>129</v>
      </c>
      <c r="D26" s="203"/>
      <c r="E26" s="203"/>
      <c r="F26" s="203"/>
      <c r="G26" s="203"/>
      <c r="H26" s="203"/>
      <c r="I26" s="203"/>
      <c r="J26" s="203"/>
      <c r="K26" s="203"/>
      <c r="L26" s="203"/>
      <c r="M26" s="203"/>
      <c r="N26" s="203"/>
      <c r="O26" s="203"/>
      <c r="P26" s="68"/>
    </row>
    <row r="27" spans="2:16" ht="14" x14ac:dyDescent="0.2">
      <c r="B27" s="66"/>
      <c r="C27" s="66"/>
      <c r="D27" s="66"/>
      <c r="E27" s="66"/>
      <c r="F27" s="66"/>
      <c r="G27" s="66"/>
      <c r="H27" s="66"/>
      <c r="I27" s="65"/>
      <c r="J27" s="65"/>
      <c r="K27" s="65"/>
      <c r="L27" s="65"/>
      <c r="M27" s="65"/>
      <c r="N27" s="65"/>
      <c r="O27" s="65"/>
      <c r="P27" s="65"/>
    </row>
    <row r="28" spans="2:16" x14ac:dyDescent="0.2">
      <c r="B28" s="34"/>
      <c r="C28" s="34"/>
      <c r="D28" s="34"/>
      <c r="E28" s="34"/>
      <c r="F28" s="34"/>
      <c r="G28" s="34"/>
      <c r="H28" s="34"/>
      <c r="I28" s="34"/>
      <c r="J28" s="34"/>
      <c r="K28" s="34"/>
      <c r="L28" s="34"/>
      <c r="M28" s="34"/>
      <c r="N28" s="34"/>
      <c r="O28" s="34"/>
      <c r="P28" s="34"/>
    </row>
  </sheetData>
  <sheetProtection algorithmName="SHA-512" hashValue="rn0hxvbnvG5CAZtSOfeYYkKxhSNDMVmOnWOoUu5nLXpFI4LAEBdDlYiewnPESHlaScTVWfo53z2CsDkIO4JZCA==" saltValue="M/sAIFT1edxMQgp2kvTLQw==" spinCount="100000" sheet="1" objects="1" scenarios="1"/>
  <mergeCells count="14">
    <mergeCell ref="F3:L3"/>
    <mergeCell ref="B22:B23"/>
    <mergeCell ref="C22:P23"/>
    <mergeCell ref="C24:O24"/>
    <mergeCell ref="C26:O26"/>
    <mergeCell ref="B13:D14"/>
    <mergeCell ref="F13:H14"/>
    <mergeCell ref="J13:L14"/>
    <mergeCell ref="B15:D17"/>
    <mergeCell ref="F15:H17"/>
    <mergeCell ref="J15:L16"/>
    <mergeCell ref="J17:L17"/>
    <mergeCell ref="C25:O25"/>
    <mergeCell ref="C21:P21"/>
  </mergeCells>
  <hyperlinks>
    <hyperlink ref="J17:L17" location="README!B25" display="Review data references here. " xr:uid="{5FCBDE83-3E5C-4241-AA38-DD6AD58D8B46}"/>
    <hyperlink ref="I6" r:id="rId1" xr:uid="{C7E5F793-45A9-47ED-8802-CFE5F1E2B973}"/>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D5E84-C126-43E2-AB05-3930DFD83871}">
  <sheetPr>
    <tabColor rgb="FF00546E"/>
  </sheetPr>
  <dimension ref="B2:X78"/>
  <sheetViews>
    <sheetView showGridLines="0" zoomScaleNormal="100" workbookViewId="0"/>
  </sheetViews>
  <sheetFormatPr defaultColWidth="14.6640625" defaultRowHeight="10" x14ac:dyDescent="0.2"/>
  <cols>
    <col min="1" max="1" width="4.44140625" style="32" customWidth="1"/>
    <col min="2" max="2" width="78.44140625" style="32" customWidth="1"/>
    <col min="3" max="3" width="3.6640625" style="32" customWidth="1"/>
    <col min="4" max="4" width="40.6640625" style="32" customWidth="1"/>
    <col min="5" max="5" width="3.6640625" style="32" customWidth="1"/>
    <col min="6" max="6" width="40.6640625" style="32" customWidth="1"/>
    <col min="7" max="7" width="3.6640625" style="32" customWidth="1"/>
    <col min="8" max="8" width="14.6640625" style="32"/>
    <col min="9" max="9" width="3.6640625" style="32" customWidth="1"/>
    <col min="10" max="10" width="14.6640625" style="32" customWidth="1"/>
    <col min="11" max="11" width="5.44140625" style="32" customWidth="1"/>
    <col min="12" max="15" width="14.6640625" style="32"/>
    <col min="16" max="16" width="16.44140625" style="32" customWidth="1"/>
    <col min="17" max="17" width="6" style="32" customWidth="1"/>
    <col min="18" max="16384" width="14.6640625" style="32"/>
  </cols>
  <sheetData>
    <row r="2" spans="2:17" s="101" customFormat="1" x14ac:dyDescent="0.2"/>
    <row r="3" spans="2:17" ht="59" customHeight="1" x14ac:dyDescent="0.2">
      <c r="E3" s="213" t="s">
        <v>108</v>
      </c>
      <c r="F3" s="213"/>
      <c r="G3" s="213"/>
      <c r="H3" s="213"/>
      <c r="I3" s="213"/>
      <c r="J3" s="213"/>
      <c r="K3" s="213"/>
      <c r="L3" s="213"/>
      <c r="M3" s="124"/>
      <c r="N3" s="124"/>
      <c r="O3" s="124"/>
      <c r="P3" s="124"/>
      <c r="Q3" s="52"/>
    </row>
    <row r="5" spans="2:17" ht="13" x14ac:dyDescent="0.2">
      <c r="F5" s="33" t="s">
        <v>35</v>
      </c>
      <c r="G5" s="34"/>
      <c r="H5" s="34" t="str">
        <f>README!H5</f>
        <v>Version 1.2</v>
      </c>
    </row>
    <row r="6" spans="2:17" ht="13" x14ac:dyDescent="0.2">
      <c r="F6" s="33" t="s">
        <v>36</v>
      </c>
      <c r="G6" s="35"/>
      <c r="H6" s="31" t="s">
        <v>39</v>
      </c>
    </row>
    <row r="7" spans="2:17" ht="33" customHeight="1" x14ac:dyDescent="0.35">
      <c r="B7" s="53"/>
      <c r="C7" s="53"/>
      <c r="D7" s="53"/>
      <c r="E7" s="53"/>
      <c r="F7" s="171" t="s">
        <v>157</v>
      </c>
      <c r="G7" s="53"/>
      <c r="H7" s="53"/>
      <c r="I7" s="53"/>
      <c r="J7" s="53"/>
      <c r="K7" s="53"/>
      <c r="L7" s="53"/>
      <c r="M7" s="53"/>
      <c r="N7" s="53"/>
      <c r="O7" s="53"/>
      <c r="P7" s="53"/>
    </row>
    <row r="8" spans="2:17" ht="15" customHeight="1" x14ac:dyDescent="0.2">
      <c r="B8" s="70"/>
      <c r="C8" s="71"/>
      <c r="D8" s="71"/>
      <c r="E8" s="71"/>
      <c r="F8" s="71"/>
      <c r="G8" s="71"/>
      <c r="H8" s="71"/>
      <c r="I8" s="71"/>
      <c r="J8" s="71"/>
      <c r="K8" s="71"/>
      <c r="L8" s="71"/>
      <c r="M8" s="71"/>
      <c r="N8" s="71"/>
      <c r="O8" s="71"/>
      <c r="P8" s="71"/>
      <c r="Q8" s="71"/>
    </row>
    <row r="9" spans="2:17" ht="18" customHeight="1" x14ac:dyDescent="0.2">
      <c r="B9" s="72"/>
      <c r="C9" s="72"/>
      <c r="D9" s="72"/>
      <c r="E9" s="72"/>
      <c r="F9" s="72"/>
      <c r="G9" s="72"/>
      <c r="H9" s="72"/>
      <c r="I9" s="72"/>
      <c r="J9" s="72"/>
      <c r="K9" s="72"/>
      <c r="L9" s="72"/>
      <c r="M9" s="72"/>
      <c r="N9" s="72"/>
      <c r="O9" s="72"/>
      <c r="P9" s="72"/>
      <c r="Q9" s="72"/>
    </row>
    <row r="10" spans="2:17" ht="13.25" customHeight="1" x14ac:dyDescent="0.2">
      <c r="B10" s="150" t="s">
        <v>76</v>
      </c>
      <c r="C10" s="72"/>
      <c r="D10" s="72"/>
      <c r="E10" s="72"/>
      <c r="F10" s="72"/>
      <c r="G10" s="72"/>
      <c r="H10" s="72"/>
      <c r="I10" s="72"/>
      <c r="J10" s="215" t="s">
        <v>85</v>
      </c>
      <c r="K10" s="215"/>
      <c r="L10" s="215"/>
      <c r="M10" s="72"/>
      <c r="N10" s="72"/>
      <c r="O10" s="72"/>
      <c r="P10" s="72"/>
      <c r="Q10" s="72"/>
    </row>
    <row r="11" spans="2:17" s="34" customFormat="1" ht="10.25" customHeight="1" x14ac:dyDescent="0.2">
      <c r="B11" s="72"/>
      <c r="C11" s="72"/>
      <c r="D11" s="72"/>
      <c r="E11" s="72"/>
      <c r="F11" s="72"/>
      <c r="G11" s="72"/>
      <c r="H11" s="72"/>
      <c r="I11" s="72"/>
      <c r="J11" s="72"/>
      <c r="K11" s="72"/>
      <c r="L11" s="72"/>
      <c r="M11" s="72"/>
      <c r="N11" s="72"/>
      <c r="O11" s="72"/>
      <c r="P11" s="72"/>
      <c r="Q11" s="72"/>
    </row>
    <row r="12" spans="2:17" s="34" customFormat="1" ht="13.25" customHeight="1" thickBot="1" x14ac:dyDescent="0.25">
      <c r="B12" s="72"/>
      <c r="C12" s="72"/>
      <c r="D12" s="72"/>
      <c r="E12" s="72"/>
      <c r="F12" s="72"/>
      <c r="G12" s="72"/>
      <c r="H12" s="72"/>
      <c r="I12" s="72"/>
      <c r="J12" s="216" t="s">
        <v>136</v>
      </c>
      <c r="K12" s="217"/>
      <c r="L12" s="217"/>
      <c r="M12" s="217"/>
      <c r="N12" s="217"/>
      <c r="O12" s="217"/>
      <c r="P12" s="217"/>
      <c r="Q12" s="217"/>
    </row>
    <row r="13" spans="2:17" s="34" customFormat="1" ht="17" customHeight="1" thickTop="1" thickBot="1" x14ac:dyDescent="0.25">
      <c r="B13" s="116" t="s">
        <v>77</v>
      </c>
      <c r="C13" s="115"/>
      <c r="D13" s="114" t="s">
        <v>60</v>
      </c>
      <c r="E13" s="72"/>
      <c r="F13" s="72"/>
      <c r="G13" s="72"/>
      <c r="H13" s="72"/>
      <c r="I13" s="72"/>
      <c r="J13" s="217"/>
      <c r="K13" s="217"/>
      <c r="L13" s="217"/>
      <c r="M13" s="217"/>
      <c r="N13" s="217"/>
      <c r="O13" s="217"/>
      <c r="P13" s="217"/>
      <c r="Q13" s="217"/>
    </row>
    <row r="14" spans="2:17" s="34" customFormat="1" ht="17" customHeight="1" thickTop="1" thickBot="1" x14ac:dyDescent="0.25">
      <c r="B14" s="116" t="s">
        <v>78</v>
      </c>
      <c r="C14" s="115"/>
      <c r="D14" s="114" t="s">
        <v>82</v>
      </c>
      <c r="E14" s="72"/>
      <c r="F14" s="72"/>
      <c r="G14" s="72"/>
      <c r="H14" s="72"/>
      <c r="I14" s="72"/>
      <c r="J14" s="217"/>
      <c r="K14" s="217"/>
      <c r="L14" s="217"/>
      <c r="M14" s="217"/>
      <c r="N14" s="217"/>
      <c r="O14" s="217"/>
      <c r="P14" s="217"/>
      <c r="Q14" s="217"/>
    </row>
    <row r="15" spans="2:17" ht="20" customHeight="1" thickTop="1" thickBot="1" x14ac:dyDescent="0.25">
      <c r="B15" s="116" t="s">
        <v>138</v>
      </c>
      <c r="C15" s="115"/>
      <c r="D15" s="224" t="s">
        <v>93</v>
      </c>
      <c r="E15" s="72"/>
      <c r="F15" s="168" t="s">
        <v>83</v>
      </c>
      <c r="G15" s="72"/>
      <c r="H15" s="72"/>
      <c r="I15" s="72"/>
      <c r="J15" s="217"/>
      <c r="K15" s="217"/>
      <c r="L15" s="217"/>
      <c r="M15" s="217"/>
      <c r="N15" s="217"/>
      <c r="O15" s="217"/>
      <c r="P15" s="217"/>
      <c r="Q15" s="217"/>
    </row>
    <row r="16" spans="2:17" ht="17" customHeight="1" thickTop="1" thickBot="1" x14ac:dyDescent="0.25">
      <c r="B16" s="116" t="s">
        <v>139</v>
      </c>
      <c r="C16" s="115"/>
      <c r="D16" s="224" t="s">
        <v>7</v>
      </c>
      <c r="E16" s="72"/>
      <c r="F16" s="86" t="s">
        <v>83</v>
      </c>
      <c r="G16" s="72"/>
      <c r="H16" s="72"/>
      <c r="I16" s="72"/>
      <c r="J16" s="218" t="s">
        <v>137</v>
      </c>
      <c r="K16" s="218"/>
      <c r="L16" s="218"/>
      <c r="M16" s="218"/>
      <c r="N16" s="219"/>
      <c r="O16" s="219"/>
      <c r="P16" s="72"/>
      <c r="Q16" s="72"/>
    </row>
    <row r="17" spans="2:24" ht="17.399999999999999" customHeight="1" thickTop="1" thickBot="1" x14ac:dyDescent="0.25">
      <c r="B17" s="116" t="s">
        <v>79</v>
      </c>
      <c r="C17" s="115"/>
      <c r="D17" s="224">
        <v>2017</v>
      </c>
      <c r="E17" s="72"/>
      <c r="F17" s="86" t="s">
        <v>83</v>
      </c>
      <c r="G17" s="72"/>
      <c r="H17" s="72"/>
      <c r="I17" s="72"/>
      <c r="J17" s="220" t="s">
        <v>163</v>
      </c>
      <c r="K17" s="216"/>
      <c r="L17" s="216"/>
      <c r="M17" s="216"/>
      <c r="N17" s="216"/>
      <c r="O17" s="216"/>
      <c r="P17" s="216"/>
      <c r="Q17" s="216"/>
    </row>
    <row r="18" spans="2:24" ht="17.399999999999999" customHeight="1" thickTop="1" thickBot="1" x14ac:dyDescent="0.25">
      <c r="B18" s="116" t="s">
        <v>80</v>
      </c>
      <c r="C18" s="115"/>
      <c r="D18" s="224">
        <v>2030</v>
      </c>
      <c r="E18" s="72"/>
      <c r="F18" s="86" t="s">
        <v>83</v>
      </c>
      <c r="G18" s="72"/>
      <c r="H18" s="72"/>
      <c r="I18" s="72"/>
      <c r="J18" s="221"/>
      <c r="K18" s="221"/>
      <c r="L18" s="221"/>
      <c r="M18" s="221"/>
      <c r="N18" s="221"/>
      <c r="O18" s="221"/>
      <c r="P18" s="221"/>
      <c r="Q18" s="221"/>
    </row>
    <row r="19" spans="2:24" ht="17" customHeight="1" thickTop="1" thickBot="1" x14ac:dyDescent="0.25">
      <c r="B19" s="116" t="s">
        <v>81</v>
      </c>
      <c r="C19" s="115"/>
      <c r="D19" s="224" t="s">
        <v>95</v>
      </c>
      <c r="E19" s="72"/>
      <c r="F19" s="86" t="s">
        <v>83</v>
      </c>
      <c r="G19" s="72"/>
      <c r="H19" s="72"/>
      <c r="I19" s="72"/>
      <c r="J19" s="218" t="s">
        <v>162</v>
      </c>
      <c r="K19" s="218"/>
      <c r="L19" s="218"/>
      <c r="M19" s="218"/>
      <c r="N19" s="219"/>
      <c r="O19" s="219"/>
      <c r="P19" s="173"/>
      <c r="Q19" s="173"/>
    </row>
    <row r="20" spans="2:24" ht="17" customHeight="1" thickTop="1" thickBot="1" x14ac:dyDescent="0.25">
      <c r="B20" s="116" t="s">
        <v>98</v>
      </c>
      <c r="C20" s="115"/>
      <c r="D20" s="225">
        <v>2400000</v>
      </c>
      <c r="E20" s="72"/>
      <c r="F20" s="86" t="s">
        <v>84</v>
      </c>
      <c r="G20" s="72"/>
      <c r="H20" s="72"/>
      <c r="I20" s="72"/>
      <c r="J20" s="214" t="s">
        <v>86</v>
      </c>
      <c r="K20" s="214"/>
      <c r="L20" s="214"/>
      <c r="M20" s="214"/>
      <c r="N20" s="214"/>
      <c r="O20" s="214"/>
      <c r="P20" s="214"/>
      <c r="Q20" s="214"/>
    </row>
    <row r="21" spans="2:24" ht="17" customHeight="1" thickTop="1" thickBot="1" x14ac:dyDescent="0.25">
      <c r="B21" s="116" t="s">
        <v>81</v>
      </c>
      <c r="C21" s="115"/>
      <c r="D21" s="225">
        <v>3043780</v>
      </c>
      <c r="E21" s="72"/>
      <c r="F21" s="86" t="str">
        <f>IF(input_projected_output_measure=Admin!$B$19,"Growth aligned with sector",IF(input_projected_output_measure=Admin!$B$20,"Square meters",""))</f>
        <v>Square meters</v>
      </c>
      <c r="G21" s="72"/>
      <c r="H21" s="72"/>
      <c r="I21" s="72"/>
      <c r="J21" s="72"/>
      <c r="K21" s="72"/>
      <c r="L21" s="72"/>
      <c r="M21" s="72"/>
      <c r="N21" s="72"/>
      <c r="O21" s="72"/>
      <c r="P21" s="72"/>
      <c r="Q21" s="72"/>
    </row>
    <row r="22" spans="2:24" ht="27.65" customHeight="1" thickTop="1" thickBot="1" x14ac:dyDescent="0.25">
      <c r="B22" s="117" t="str">
        <f>IF(Input_asset_class="","",
IF(Input_asset_class=Admin!$B$11,"Scope 1+2 + Scope 3 emissions from tenant's energy consumption",
IF(Input_asset_class=Admin!$B$12,"Scope 1+2 emissions of household","")))</f>
        <v>Scope 1+2 emissions of household</v>
      </c>
      <c r="C22" s="115"/>
      <c r="D22" s="225">
        <v>280800</v>
      </c>
      <c r="E22" s="72"/>
      <c r="F22" s="174" t="s">
        <v>161</v>
      </c>
      <c r="G22" s="134" t="s">
        <v>133</v>
      </c>
      <c r="H22" s="113"/>
      <c r="I22" s="113"/>
      <c r="J22" s="113"/>
      <c r="K22" s="113"/>
      <c r="L22" s="212">
        <f>Calc!G20</f>
        <v>117</v>
      </c>
      <c r="M22" s="212"/>
      <c r="N22" s="212"/>
      <c r="O22" s="72"/>
      <c r="P22" s="72"/>
      <c r="Q22" s="72"/>
    </row>
    <row r="23" spans="2:24" ht="10.25" customHeight="1" thickTop="1" x14ac:dyDescent="0.2">
      <c r="B23" s="72"/>
      <c r="C23" s="72"/>
      <c r="D23" s="72"/>
      <c r="E23" s="72"/>
      <c r="F23" s="72"/>
      <c r="G23" s="72"/>
      <c r="H23" s="72"/>
      <c r="I23" s="72"/>
      <c r="J23" s="72"/>
      <c r="K23" s="72"/>
      <c r="L23" s="72"/>
      <c r="M23" s="72"/>
      <c r="N23" s="72"/>
      <c r="O23" s="72"/>
      <c r="P23" s="72"/>
      <c r="Q23" s="72"/>
    </row>
    <row r="24" spans="2:24" ht="10.25" customHeight="1" x14ac:dyDescent="0.2">
      <c r="B24" s="70"/>
      <c r="C24" s="71"/>
      <c r="D24" s="71"/>
      <c r="E24" s="71"/>
      <c r="F24" s="71"/>
      <c r="G24" s="71"/>
      <c r="H24" s="71"/>
      <c r="I24" s="71"/>
      <c r="J24" s="71"/>
      <c r="K24" s="71"/>
      <c r="L24" s="71"/>
      <c r="M24" s="71"/>
      <c r="N24" s="71"/>
      <c r="O24" s="71"/>
      <c r="P24" s="71"/>
      <c r="Q24" s="71"/>
    </row>
    <row r="25" spans="2:24" ht="10.25" customHeight="1" x14ac:dyDescent="0.2">
      <c r="B25" s="72"/>
      <c r="C25" s="72"/>
      <c r="D25" s="72"/>
      <c r="E25" s="72"/>
      <c r="F25" s="72"/>
      <c r="G25" s="72"/>
      <c r="H25" s="72"/>
      <c r="I25" s="72"/>
      <c r="J25" s="72"/>
      <c r="K25" s="72"/>
      <c r="L25" s="72"/>
      <c r="M25" s="72"/>
      <c r="N25" s="72"/>
      <c r="O25" s="72"/>
      <c r="P25" s="72"/>
      <c r="Q25" s="72"/>
    </row>
    <row r="26" spans="2:24" ht="14" x14ac:dyDescent="0.2">
      <c r="B26" s="146" t="s">
        <v>87</v>
      </c>
      <c r="C26" s="72"/>
      <c r="D26" s="72"/>
      <c r="E26" s="72"/>
      <c r="F26" s="72"/>
      <c r="G26" s="72"/>
      <c r="H26" s="72"/>
      <c r="I26" s="72"/>
      <c r="J26" s="72"/>
      <c r="K26" s="72"/>
      <c r="L26" s="72"/>
      <c r="M26" s="72"/>
      <c r="N26" s="72"/>
      <c r="O26" s="72"/>
      <c r="P26" s="72"/>
      <c r="Q26" s="72"/>
    </row>
    <row r="27" spans="2:24" ht="10.25" customHeight="1" x14ac:dyDescent="0.2">
      <c r="B27" s="72"/>
      <c r="C27" s="72"/>
      <c r="D27" s="72"/>
      <c r="E27" s="72"/>
      <c r="F27" s="72"/>
      <c r="G27" s="72"/>
      <c r="H27" s="72"/>
      <c r="I27" s="72"/>
      <c r="J27" s="72"/>
      <c r="K27" s="72"/>
      <c r="L27" s="72"/>
      <c r="M27" s="72"/>
      <c r="N27" s="72"/>
      <c r="O27" s="72"/>
      <c r="P27" s="72"/>
      <c r="Q27" s="72"/>
    </row>
    <row r="28" spans="2:24" ht="20.5" customHeight="1" x14ac:dyDescent="0.2">
      <c r="B28" s="73" t="str">
        <f>"Asset class subsector data: "&amp;D16</f>
        <v>Asset class subsector data: Residential buildings</v>
      </c>
      <c r="C28" s="72"/>
      <c r="D28" s="72"/>
      <c r="E28" s="72"/>
      <c r="F28" s="72"/>
      <c r="G28" s="72"/>
      <c r="H28" s="72"/>
      <c r="I28" s="72"/>
      <c r="J28" s="72"/>
      <c r="K28" s="72"/>
      <c r="L28" s="72"/>
      <c r="M28" s="72"/>
      <c r="N28" s="72"/>
      <c r="O28" s="72"/>
      <c r="P28" s="72"/>
      <c r="Q28" s="72"/>
    </row>
    <row r="29" spans="2:24" ht="13" x14ac:dyDescent="0.2">
      <c r="B29" s="73" t="str">
        <f ca="1">"Sectoral activity growth over target timeframe: "&amp;ROUND(Calc!G19,2)&amp;"%"</f>
        <v>Sectoral activity growth over target timeframe: 32,61%</v>
      </c>
      <c r="C29" s="72"/>
      <c r="D29" s="72"/>
      <c r="E29" s="72"/>
      <c r="F29" s="72"/>
      <c r="G29" s="72"/>
      <c r="H29" s="72"/>
      <c r="I29" s="72"/>
      <c r="J29" s="72"/>
      <c r="K29" s="72"/>
      <c r="L29" s="72"/>
      <c r="M29" s="72"/>
      <c r="N29" s="72"/>
      <c r="O29" s="72"/>
      <c r="P29" s="72"/>
      <c r="Q29" s="72"/>
      <c r="R29" s="72"/>
      <c r="S29" s="72"/>
      <c r="T29" s="72"/>
      <c r="U29" s="72"/>
      <c r="V29" s="72"/>
      <c r="W29" s="72"/>
      <c r="X29" s="72"/>
    </row>
    <row r="30" spans="2:24" ht="10.25" customHeight="1" x14ac:dyDescent="0.2">
      <c r="B30" s="72"/>
      <c r="C30" s="72"/>
      <c r="D30" s="72"/>
      <c r="E30" s="72"/>
      <c r="F30" s="72"/>
      <c r="G30" s="72"/>
      <c r="H30" s="72"/>
      <c r="I30" s="72"/>
      <c r="J30" s="72"/>
      <c r="K30" s="72"/>
      <c r="L30" s="72"/>
      <c r="M30" s="72"/>
      <c r="N30" s="72"/>
      <c r="O30" s="72"/>
      <c r="P30" s="72"/>
      <c r="Q30" s="72"/>
      <c r="R30" s="72"/>
      <c r="S30" s="72"/>
      <c r="T30" s="72"/>
      <c r="U30" s="72"/>
      <c r="V30" s="72"/>
      <c r="W30" s="72"/>
      <c r="X30" s="72"/>
    </row>
    <row r="31" spans="2:24" ht="20" customHeight="1" x14ac:dyDescent="0.2">
      <c r="B31" s="151" t="s">
        <v>88</v>
      </c>
      <c r="C31" s="72"/>
      <c r="D31" s="72"/>
      <c r="E31" s="72"/>
      <c r="F31" s="72"/>
      <c r="G31" s="146" t="s">
        <v>140</v>
      </c>
      <c r="H31" s="74"/>
      <c r="I31" s="72"/>
      <c r="J31" s="72"/>
      <c r="K31" s="72"/>
      <c r="L31" s="72"/>
      <c r="M31" s="72"/>
      <c r="N31" s="72"/>
      <c r="O31" s="72"/>
      <c r="P31" s="72"/>
      <c r="Q31" s="72"/>
      <c r="R31" s="72"/>
      <c r="S31" s="72"/>
      <c r="T31" s="72"/>
      <c r="U31" s="72"/>
      <c r="V31" s="72"/>
      <c r="W31" s="72"/>
      <c r="X31" s="72"/>
    </row>
    <row r="32" spans="2:24" ht="10.25" customHeight="1" x14ac:dyDescent="0.2">
      <c r="B32" s="72"/>
      <c r="C32" s="72"/>
      <c r="D32" s="72"/>
      <c r="E32" s="72"/>
      <c r="F32" s="72"/>
      <c r="G32" s="72"/>
      <c r="H32" s="72"/>
      <c r="I32" s="72"/>
      <c r="J32" s="72"/>
      <c r="K32" s="72"/>
      <c r="L32" s="72"/>
      <c r="M32" s="72"/>
      <c r="N32" s="72"/>
      <c r="O32" s="72"/>
      <c r="P32" s="72"/>
      <c r="Q32" s="72"/>
      <c r="R32" s="72"/>
      <c r="S32" s="72"/>
      <c r="T32" s="72"/>
      <c r="U32" s="72"/>
      <c r="V32" s="72"/>
      <c r="W32" s="72"/>
      <c r="X32" s="72"/>
    </row>
    <row r="33" spans="2:24" ht="10.25" customHeight="1" x14ac:dyDescent="0.2">
      <c r="B33" s="72"/>
      <c r="C33" s="72"/>
      <c r="D33" s="72"/>
      <c r="E33" s="72"/>
      <c r="F33" s="72"/>
      <c r="G33" s="72"/>
      <c r="H33" s="72"/>
      <c r="I33" s="72"/>
      <c r="J33" s="72"/>
      <c r="K33" s="72"/>
      <c r="L33" s="72"/>
      <c r="M33" s="72"/>
      <c r="N33" s="72"/>
      <c r="O33" s="72"/>
      <c r="P33" s="72"/>
      <c r="Q33" s="72"/>
      <c r="R33" s="72"/>
      <c r="S33" s="72"/>
      <c r="T33" s="72"/>
      <c r="U33" s="72"/>
      <c r="V33" s="72"/>
      <c r="W33" s="72"/>
      <c r="X33" s="72"/>
    </row>
    <row r="34" spans="2:24" ht="10.25" customHeight="1" x14ac:dyDescent="0.2">
      <c r="B34" s="89"/>
      <c r="C34" s="89"/>
      <c r="D34" s="89"/>
      <c r="E34" s="89"/>
      <c r="F34" s="89"/>
      <c r="G34" s="89"/>
      <c r="H34" s="89"/>
      <c r="I34" s="89"/>
      <c r="J34" s="89"/>
      <c r="K34" s="89"/>
      <c r="L34" s="89"/>
      <c r="M34" s="89"/>
      <c r="N34" s="89"/>
      <c r="O34" s="89"/>
      <c r="P34" s="89"/>
      <c r="Q34" s="89"/>
      <c r="R34" s="89"/>
      <c r="S34" s="89"/>
      <c r="T34" s="89"/>
      <c r="U34" s="89"/>
      <c r="V34" s="89"/>
      <c r="W34" s="89"/>
      <c r="X34" s="89"/>
    </row>
    <row r="35" spans="2:24" ht="10.25" customHeight="1" x14ac:dyDescent="0.2">
      <c r="B35" s="89"/>
      <c r="C35" s="89"/>
      <c r="D35" s="89"/>
      <c r="E35" s="89"/>
      <c r="F35" s="89"/>
      <c r="G35" s="89"/>
      <c r="H35" s="89"/>
      <c r="I35" s="89"/>
      <c r="J35" s="89"/>
      <c r="K35" s="89"/>
      <c r="L35" s="89"/>
      <c r="M35" s="89"/>
      <c r="N35" s="89"/>
      <c r="O35" s="89"/>
      <c r="P35" s="89"/>
      <c r="Q35" s="89"/>
      <c r="R35" s="89"/>
      <c r="S35" s="89"/>
      <c r="T35" s="89"/>
      <c r="U35" s="89"/>
      <c r="V35" s="89"/>
      <c r="W35" s="89"/>
      <c r="X35" s="89"/>
    </row>
    <row r="36" spans="2:24" ht="10.25" customHeight="1" x14ac:dyDescent="0.2">
      <c r="B36" s="89"/>
      <c r="C36" s="89"/>
      <c r="D36" s="89"/>
      <c r="E36" s="89"/>
      <c r="F36" s="89"/>
      <c r="G36" s="89"/>
      <c r="H36" s="89"/>
      <c r="I36" s="89"/>
      <c r="J36" s="89"/>
      <c r="K36" s="89"/>
      <c r="L36" s="89"/>
      <c r="M36" s="89"/>
      <c r="N36" s="89"/>
      <c r="O36" s="89"/>
      <c r="P36" s="89"/>
      <c r="Q36" s="101"/>
      <c r="R36" s="101"/>
      <c r="S36" s="101"/>
      <c r="T36" s="101"/>
      <c r="U36" s="101"/>
      <c r="V36" s="101"/>
      <c r="W36" s="101"/>
      <c r="X36" s="101"/>
    </row>
    <row r="37" spans="2:24" ht="10.25" customHeight="1" x14ac:dyDescent="0.2">
      <c r="B37" s="138"/>
      <c r="C37" s="138"/>
      <c r="D37" s="138"/>
      <c r="E37" s="138"/>
      <c r="F37" s="138"/>
      <c r="G37" s="138"/>
      <c r="H37" s="138"/>
      <c r="I37" s="138"/>
      <c r="J37" s="138"/>
      <c r="K37" s="138"/>
      <c r="L37" s="138"/>
      <c r="M37" s="138"/>
      <c r="N37" s="138"/>
      <c r="O37" s="138"/>
      <c r="P37" s="138"/>
      <c r="Q37" s="101"/>
      <c r="R37" s="101"/>
      <c r="S37" s="101"/>
      <c r="T37" s="101"/>
      <c r="U37" s="101"/>
      <c r="V37" s="101"/>
      <c r="W37" s="101"/>
      <c r="X37" s="101"/>
    </row>
    <row r="38" spans="2:24" ht="10.25" customHeight="1" x14ac:dyDescent="0.2">
      <c r="B38" s="138"/>
      <c r="C38" s="138"/>
      <c r="D38" s="138"/>
      <c r="E38" s="138"/>
      <c r="F38" s="138"/>
      <c r="G38" s="138"/>
      <c r="H38" s="138"/>
      <c r="I38" s="138"/>
      <c r="J38" s="138"/>
      <c r="K38" s="138"/>
      <c r="L38" s="138"/>
      <c r="M38" s="138"/>
      <c r="N38" s="138"/>
      <c r="O38" s="138"/>
      <c r="P38" s="138"/>
      <c r="Q38" s="101"/>
      <c r="R38" s="101"/>
      <c r="S38" s="101"/>
      <c r="T38" s="101"/>
      <c r="U38" s="101"/>
      <c r="V38" s="101"/>
      <c r="W38" s="101"/>
      <c r="X38" s="101"/>
    </row>
    <row r="39" spans="2:24" ht="10.25" customHeight="1" x14ac:dyDescent="0.2">
      <c r="B39" s="138"/>
      <c r="C39" s="138"/>
      <c r="D39" s="138"/>
      <c r="E39" s="138"/>
      <c r="F39" s="138"/>
      <c r="G39" s="138"/>
      <c r="H39" s="138"/>
      <c r="I39" s="138"/>
      <c r="J39" s="138"/>
      <c r="K39" s="138"/>
      <c r="L39" s="138"/>
      <c r="M39" s="138"/>
      <c r="N39" s="138"/>
      <c r="O39" s="138"/>
      <c r="P39" s="138"/>
      <c r="Q39" s="101"/>
      <c r="R39" s="101"/>
      <c r="S39" s="101"/>
      <c r="T39" s="101"/>
      <c r="U39" s="101"/>
      <c r="V39" s="101"/>
      <c r="W39" s="101"/>
      <c r="X39" s="101"/>
    </row>
    <row r="40" spans="2:24" ht="10.25" customHeight="1" x14ac:dyDescent="0.2">
      <c r="B40" s="138"/>
      <c r="C40" s="138"/>
      <c r="D40" s="138"/>
      <c r="E40" s="138"/>
      <c r="F40" s="138"/>
      <c r="G40" s="138"/>
      <c r="H40" s="138"/>
      <c r="I40" s="138"/>
      <c r="J40" s="138"/>
      <c r="K40" s="138"/>
      <c r="L40" s="138"/>
      <c r="M40" s="138"/>
      <c r="N40" s="138"/>
      <c r="O40" s="138"/>
      <c r="P40" s="138"/>
      <c r="Q40" s="101"/>
      <c r="R40" s="101"/>
      <c r="S40" s="101"/>
      <c r="T40" s="101"/>
      <c r="U40" s="101"/>
      <c r="V40" s="101"/>
      <c r="W40" s="101"/>
      <c r="X40" s="101"/>
    </row>
    <row r="41" spans="2:24" ht="10.25" customHeight="1" x14ac:dyDescent="0.2">
      <c r="B41" s="139"/>
      <c r="C41" s="139"/>
      <c r="D41" s="139"/>
      <c r="E41" s="139"/>
      <c r="F41" s="139"/>
      <c r="G41" s="139"/>
      <c r="H41" s="139"/>
      <c r="I41" s="139"/>
      <c r="J41" s="139"/>
      <c r="K41" s="139"/>
      <c r="L41" s="139"/>
      <c r="M41" s="139"/>
      <c r="N41" s="139"/>
      <c r="O41" s="139"/>
      <c r="P41" s="139"/>
      <c r="Q41" s="101"/>
      <c r="R41" s="101"/>
      <c r="S41" s="101"/>
      <c r="T41" s="101"/>
      <c r="U41" s="101"/>
      <c r="V41" s="101"/>
      <c r="W41" s="101"/>
      <c r="X41" s="101"/>
    </row>
    <row r="42" spans="2:24" ht="10.25" customHeight="1" x14ac:dyDescent="0.2">
      <c r="B42" s="139"/>
      <c r="C42" s="139"/>
      <c r="D42" s="139"/>
      <c r="E42" s="139"/>
      <c r="F42" s="139"/>
      <c r="G42" s="139"/>
      <c r="H42" s="139"/>
      <c r="I42" s="139"/>
      <c r="J42" s="139"/>
      <c r="K42" s="139"/>
      <c r="L42" s="139"/>
      <c r="M42" s="139"/>
      <c r="N42" s="139"/>
      <c r="O42" s="139"/>
      <c r="P42" s="139"/>
      <c r="Q42" s="101"/>
      <c r="R42" s="101"/>
      <c r="S42" s="101"/>
      <c r="T42" s="101"/>
      <c r="U42" s="101"/>
      <c r="V42" s="101"/>
      <c r="W42" s="101"/>
      <c r="X42" s="101"/>
    </row>
    <row r="43" spans="2:24" ht="10.25" customHeight="1" x14ac:dyDescent="0.2">
      <c r="B43" s="139"/>
      <c r="C43" s="139"/>
      <c r="D43" s="139"/>
      <c r="E43" s="139"/>
      <c r="F43" s="139"/>
      <c r="G43" s="139"/>
      <c r="H43" s="139"/>
      <c r="I43" s="139"/>
      <c r="J43" s="139"/>
      <c r="K43" s="139"/>
      <c r="L43" s="139"/>
      <c r="M43" s="139"/>
      <c r="N43" s="139"/>
      <c r="O43" s="139"/>
      <c r="P43" s="139"/>
      <c r="Q43" s="101"/>
      <c r="R43" s="101"/>
      <c r="S43" s="101"/>
      <c r="T43" s="101"/>
      <c r="U43" s="101"/>
      <c r="V43" s="101"/>
      <c r="W43" s="101"/>
      <c r="X43" s="101"/>
    </row>
    <row r="44" spans="2:24" ht="10.25" customHeight="1" x14ac:dyDescent="0.2">
      <c r="B44" s="139"/>
      <c r="C44" s="139"/>
      <c r="D44" s="139"/>
      <c r="E44" s="139"/>
      <c r="F44" s="139"/>
      <c r="G44" s="139"/>
      <c r="H44" s="139"/>
      <c r="I44" s="139"/>
      <c r="J44" s="139"/>
      <c r="K44" s="139"/>
      <c r="L44" s="139"/>
      <c r="M44" s="139"/>
      <c r="N44" s="139"/>
      <c r="O44" s="139"/>
      <c r="P44" s="139"/>
      <c r="Q44" s="101"/>
      <c r="R44" s="101"/>
      <c r="S44" s="101"/>
      <c r="T44" s="101"/>
      <c r="U44" s="101"/>
      <c r="V44" s="101"/>
      <c r="W44" s="101"/>
      <c r="X44" s="101"/>
    </row>
    <row r="45" spans="2:24" ht="10.25" customHeight="1" x14ac:dyDescent="0.2">
      <c r="B45" s="139"/>
      <c r="C45" s="139"/>
      <c r="D45" s="139"/>
      <c r="E45" s="139"/>
      <c r="F45" s="139"/>
      <c r="G45" s="139"/>
      <c r="H45" s="139"/>
      <c r="I45" s="139"/>
      <c r="J45" s="139"/>
      <c r="K45" s="139"/>
      <c r="L45" s="139"/>
      <c r="M45" s="139"/>
      <c r="N45" s="139"/>
      <c r="O45" s="139"/>
      <c r="P45" s="139"/>
      <c r="Q45" s="101"/>
      <c r="R45" s="101"/>
      <c r="S45" s="101"/>
      <c r="T45" s="101"/>
      <c r="U45" s="101"/>
      <c r="V45" s="101"/>
      <c r="W45" s="101"/>
      <c r="X45" s="101"/>
    </row>
    <row r="46" spans="2:24" ht="10.25" customHeight="1" x14ac:dyDescent="0.2">
      <c r="B46" s="139"/>
      <c r="C46" s="139"/>
      <c r="D46" s="139"/>
      <c r="E46" s="139"/>
      <c r="F46" s="139"/>
      <c r="G46" s="139"/>
      <c r="H46" s="139"/>
      <c r="I46" s="139"/>
      <c r="J46" s="139"/>
      <c r="K46" s="139"/>
      <c r="L46" s="139"/>
      <c r="M46" s="139"/>
      <c r="N46" s="139"/>
      <c r="O46" s="139"/>
      <c r="P46" s="139"/>
      <c r="Q46" s="101"/>
      <c r="R46" s="101"/>
      <c r="S46" s="101"/>
      <c r="T46" s="101"/>
      <c r="U46" s="101"/>
      <c r="V46" s="101"/>
      <c r="W46" s="101"/>
      <c r="X46" s="101"/>
    </row>
    <row r="47" spans="2:24" ht="10.25" customHeight="1" x14ac:dyDescent="0.2">
      <c r="B47" s="139"/>
      <c r="C47" s="139"/>
      <c r="D47" s="139"/>
      <c r="E47" s="139"/>
      <c r="F47" s="139"/>
      <c r="G47" s="139"/>
      <c r="H47" s="139"/>
      <c r="I47" s="139"/>
      <c r="J47" s="139"/>
      <c r="K47" s="139"/>
      <c r="L47" s="139"/>
      <c r="M47" s="139"/>
      <c r="N47" s="139"/>
      <c r="O47" s="139"/>
      <c r="P47" s="139"/>
      <c r="Q47" s="101"/>
      <c r="R47" s="101"/>
      <c r="S47" s="101"/>
      <c r="T47" s="101"/>
      <c r="U47" s="101"/>
      <c r="V47" s="101"/>
      <c r="W47" s="101"/>
      <c r="X47" s="101"/>
    </row>
    <row r="48" spans="2:24" ht="10.25" customHeight="1" x14ac:dyDescent="0.2">
      <c r="B48" s="139"/>
      <c r="C48" s="139"/>
      <c r="D48" s="139"/>
      <c r="E48" s="139"/>
      <c r="F48" s="139"/>
      <c r="G48" s="139"/>
      <c r="H48" s="139"/>
      <c r="I48" s="139"/>
      <c r="J48" s="139"/>
      <c r="K48" s="139"/>
      <c r="L48" s="139"/>
      <c r="M48" s="139"/>
      <c r="N48" s="139"/>
      <c r="O48" s="139"/>
      <c r="P48" s="139"/>
      <c r="Q48" s="101"/>
      <c r="R48" s="101"/>
      <c r="S48" s="101"/>
      <c r="T48" s="101"/>
      <c r="U48" s="101"/>
      <c r="V48" s="101"/>
      <c r="W48" s="101"/>
      <c r="X48" s="101"/>
    </row>
    <row r="49" spans="2:24" ht="10.25" customHeight="1" x14ac:dyDescent="0.2">
      <c r="B49" s="139"/>
      <c r="C49" s="139"/>
      <c r="D49" s="139"/>
      <c r="E49" s="139"/>
      <c r="F49" s="139"/>
      <c r="G49" s="139"/>
      <c r="H49" s="139"/>
      <c r="I49" s="139"/>
      <c r="J49" s="139"/>
      <c r="K49" s="139"/>
      <c r="L49" s="139"/>
      <c r="M49" s="139"/>
      <c r="N49" s="139"/>
      <c r="O49" s="139"/>
      <c r="P49" s="139"/>
      <c r="Q49" s="101"/>
      <c r="R49" s="101"/>
      <c r="S49" s="101"/>
      <c r="T49" s="101"/>
      <c r="U49" s="101"/>
      <c r="V49" s="101"/>
      <c r="W49" s="101"/>
      <c r="X49" s="101"/>
    </row>
    <row r="50" spans="2:24" ht="10.25" customHeight="1" x14ac:dyDescent="0.2">
      <c r="B50" s="139"/>
      <c r="C50" s="139"/>
      <c r="D50" s="139"/>
      <c r="E50" s="139"/>
      <c r="F50" s="139"/>
      <c r="G50" s="139"/>
      <c r="H50" s="139"/>
      <c r="I50" s="139"/>
      <c r="J50" s="139"/>
      <c r="K50" s="139"/>
      <c r="L50" s="139"/>
      <c r="M50" s="139"/>
      <c r="N50" s="139"/>
      <c r="O50" s="139"/>
      <c r="P50" s="139"/>
      <c r="Q50" s="101"/>
      <c r="R50" s="101"/>
      <c r="S50" s="101"/>
      <c r="T50" s="101"/>
      <c r="U50" s="101"/>
      <c r="V50" s="101"/>
      <c r="W50" s="101"/>
      <c r="X50" s="101"/>
    </row>
    <row r="51" spans="2:24" ht="10.25" customHeight="1" x14ac:dyDescent="0.2">
      <c r="B51" s="139"/>
      <c r="C51" s="139"/>
      <c r="D51" s="139"/>
      <c r="E51" s="139"/>
      <c r="F51" s="139"/>
      <c r="G51" s="139"/>
      <c r="H51" s="139"/>
      <c r="I51" s="139"/>
      <c r="J51" s="139"/>
      <c r="K51" s="139"/>
      <c r="L51" s="139"/>
      <c r="M51" s="139"/>
      <c r="N51" s="139"/>
      <c r="O51" s="139"/>
      <c r="P51" s="139"/>
      <c r="Q51" s="101"/>
      <c r="R51" s="101"/>
      <c r="S51" s="101"/>
      <c r="T51" s="101"/>
      <c r="U51" s="101"/>
      <c r="V51" s="101"/>
      <c r="W51" s="101"/>
      <c r="X51" s="101"/>
    </row>
    <row r="52" spans="2:24" ht="10.25" customHeight="1" x14ac:dyDescent="0.2">
      <c r="B52" s="139"/>
      <c r="C52" s="139"/>
      <c r="D52" s="139"/>
      <c r="E52" s="139"/>
      <c r="F52" s="139"/>
      <c r="G52" s="139"/>
      <c r="H52" s="139"/>
      <c r="I52" s="139"/>
      <c r="J52" s="139"/>
      <c r="K52" s="139"/>
      <c r="L52" s="139"/>
      <c r="M52" s="139"/>
      <c r="N52" s="139"/>
      <c r="O52" s="139"/>
      <c r="P52" s="139"/>
      <c r="Q52" s="101"/>
      <c r="R52" s="101"/>
      <c r="S52" s="101"/>
      <c r="T52" s="101"/>
      <c r="U52" s="101"/>
      <c r="V52" s="101"/>
      <c r="W52" s="101"/>
      <c r="X52" s="101"/>
    </row>
    <row r="53" spans="2:24" ht="10.25" customHeight="1" x14ac:dyDescent="0.2">
      <c r="B53" s="139"/>
      <c r="C53" s="139"/>
      <c r="D53" s="139"/>
      <c r="E53" s="139"/>
      <c r="F53" s="139"/>
      <c r="G53" s="139"/>
      <c r="H53" s="139"/>
      <c r="I53" s="139"/>
      <c r="J53" s="139"/>
      <c r="K53" s="139"/>
      <c r="L53" s="139"/>
      <c r="M53" s="139"/>
      <c r="N53" s="139"/>
      <c r="O53" s="139"/>
      <c r="P53" s="139"/>
      <c r="Q53" s="101"/>
      <c r="R53" s="101"/>
      <c r="S53" s="101"/>
      <c r="T53" s="101"/>
      <c r="U53" s="101"/>
      <c r="V53" s="101"/>
      <c r="W53" s="101"/>
      <c r="X53" s="101"/>
    </row>
    <row r="54" spans="2:24" ht="10.25" customHeight="1" x14ac:dyDescent="0.2">
      <c r="B54" s="139"/>
      <c r="C54" s="139"/>
      <c r="D54" s="139"/>
      <c r="E54" s="139"/>
      <c r="F54" s="139"/>
      <c r="G54" s="139"/>
      <c r="H54" s="139"/>
      <c r="I54" s="139"/>
      <c r="J54" s="139"/>
      <c r="K54" s="139"/>
      <c r="L54" s="139"/>
      <c r="M54" s="139"/>
      <c r="N54" s="139"/>
      <c r="O54" s="139"/>
      <c r="P54" s="139"/>
      <c r="Q54" s="101"/>
      <c r="R54" s="101"/>
      <c r="S54" s="101"/>
      <c r="T54" s="101"/>
      <c r="U54" s="101"/>
      <c r="V54" s="101"/>
      <c r="W54" s="101"/>
      <c r="X54" s="101"/>
    </row>
    <row r="55" spans="2:24" ht="10.25" customHeight="1" x14ac:dyDescent="0.2">
      <c r="B55" s="139"/>
      <c r="C55" s="139"/>
      <c r="D55" s="139"/>
      <c r="E55" s="139"/>
      <c r="F55" s="139"/>
      <c r="G55" s="139"/>
      <c r="H55" s="139"/>
      <c r="I55" s="139"/>
      <c r="J55" s="139"/>
      <c r="K55" s="139"/>
      <c r="L55" s="139"/>
      <c r="M55" s="139"/>
      <c r="N55" s="139"/>
      <c r="O55" s="139"/>
      <c r="P55" s="139"/>
      <c r="Q55" s="101"/>
      <c r="R55" s="101"/>
      <c r="S55" s="101"/>
      <c r="T55" s="101"/>
      <c r="U55" s="101"/>
      <c r="V55" s="101"/>
      <c r="W55" s="101"/>
      <c r="X55" s="101"/>
    </row>
    <row r="56" spans="2:24" ht="10.25" customHeight="1" x14ac:dyDescent="0.2">
      <c r="B56" s="139"/>
      <c r="C56" s="139"/>
      <c r="D56" s="139"/>
      <c r="E56" s="139"/>
      <c r="F56" s="139"/>
      <c r="G56" s="139"/>
      <c r="H56" s="139"/>
      <c r="I56" s="139"/>
      <c r="J56" s="139"/>
      <c r="K56" s="139"/>
      <c r="L56" s="139"/>
      <c r="M56" s="139"/>
      <c r="N56" s="139"/>
      <c r="O56" s="139"/>
      <c r="P56" s="139"/>
      <c r="Q56" s="101"/>
      <c r="R56" s="101"/>
      <c r="S56" s="101"/>
      <c r="T56" s="101"/>
      <c r="U56" s="101"/>
      <c r="V56" s="101"/>
      <c r="W56" s="101"/>
      <c r="X56" s="101"/>
    </row>
    <row r="57" spans="2:24" ht="10.25" customHeight="1" x14ac:dyDescent="0.2">
      <c r="B57" s="139"/>
      <c r="C57" s="139"/>
      <c r="D57" s="139"/>
      <c r="E57" s="139"/>
      <c r="F57" s="139"/>
      <c r="G57" s="139"/>
      <c r="H57" s="139"/>
      <c r="I57" s="139"/>
      <c r="J57" s="139"/>
      <c r="K57" s="139"/>
      <c r="L57" s="139"/>
      <c r="M57" s="139"/>
      <c r="N57" s="139"/>
      <c r="O57" s="139"/>
      <c r="P57" s="139"/>
      <c r="Q57" s="101"/>
      <c r="R57" s="101"/>
      <c r="S57" s="101"/>
      <c r="T57" s="101"/>
      <c r="U57" s="101"/>
      <c r="V57" s="101"/>
      <c r="W57" s="101"/>
      <c r="X57" s="101"/>
    </row>
    <row r="58" spans="2:24" ht="10.25" customHeight="1" x14ac:dyDescent="0.2">
      <c r="B58" s="139"/>
      <c r="C58" s="139"/>
      <c r="D58" s="139"/>
      <c r="E58" s="139"/>
      <c r="F58" s="139"/>
      <c r="G58" s="139"/>
      <c r="H58" s="139"/>
      <c r="I58" s="139"/>
      <c r="J58" s="139"/>
      <c r="K58" s="139"/>
      <c r="L58" s="139"/>
      <c r="M58" s="139"/>
      <c r="N58" s="139"/>
      <c r="O58" s="139"/>
      <c r="P58" s="139"/>
      <c r="Q58" s="101"/>
      <c r="R58" s="101"/>
      <c r="S58" s="101"/>
      <c r="T58" s="101"/>
      <c r="U58" s="101"/>
      <c r="V58" s="101"/>
      <c r="W58" s="101"/>
      <c r="X58" s="101"/>
    </row>
    <row r="59" spans="2:24" ht="10.25" customHeight="1" x14ac:dyDescent="0.2">
      <c r="B59" s="139"/>
      <c r="C59" s="139"/>
      <c r="D59" s="139"/>
      <c r="E59" s="139"/>
      <c r="F59" s="139"/>
      <c r="G59" s="139"/>
      <c r="H59" s="139"/>
      <c r="I59" s="139"/>
      <c r="J59" s="139"/>
      <c r="K59" s="139"/>
      <c r="L59" s="139"/>
      <c r="M59" s="139"/>
      <c r="N59" s="139"/>
      <c r="O59" s="139"/>
      <c r="P59" s="139"/>
      <c r="Q59" s="101"/>
      <c r="R59" s="101"/>
      <c r="S59" s="101"/>
      <c r="T59" s="101"/>
      <c r="U59" s="101"/>
      <c r="V59" s="101"/>
      <c r="W59" s="101"/>
      <c r="X59" s="101"/>
    </row>
    <row r="60" spans="2:24" ht="10.25" customHeight="1" x14ac:dyDescent="0.2">
      <c r="B60" s="139"/>
      <c r="C60" s="139"/>
      <c r="D60" s="139"/>
      <c r="E60" s="139"/>
      <c r="F60" s="139"/>
      <c r="G60" s="139"/>
      <c r="H60" s="139"/>
      <c r="I60" s="139"/>
      <c r="J60" s="139"/>
      <c r="K60" s="139"/>
      <c r="L60" s="139"/>
      <c r="M60" s="139"/>
      <c r="N60" s="139"/>
      <c r="O60" s="139"/>
      <c r="P60" s="139"/>
      <c r="Q60" s="101"/>
      <c r="R60" s="101"/>
      <c r="S60" s="101"/>
      <c r="T60" s="101"/>
      <c r="U60" s="101"/>
      <c r="V60" s="101"/>
      <c r="W60" s="101"/>
      <c r="X60" s="101"/>
    </row>
    <row r="61" spans="2:24" ht="10.25" customHeight="1" x14ac:dyDescent="0.2">
      <c r="B61" s="139"/>
      <c r="C61" s="139"/>
      <c r="D61" s="139"/>
      <c r="E61" s="139"/>
      <c r="F61" s="139"/>
      <c r="G61" s="139"/>
      <c r="H61" s="139"/>
      <c r="I61" s="139"/>
      <c r="J61" s="139"/>
      <c r="K61" s="139"/>
      <c r="L61" s="139"/>
      <c r="M61" s="139"/>
      <c r="N61" s="139"/>
      <c r="O61" s="139"/>
      <c r="P61" s="139"/>
      <c r="Q61" s="101"/>
      <c r="R61" s="101"/>
      <c r="S61" s="101"/>
      <c r="T61" s="101"/>
      <c r="U61" s="101"/>
      <c r="V61" s="101"/>
      <c r="W61" s="101"/>
      <c r="X61" s="101"/>
    </row>
    <row r="62" spans="2:24" ht="10.25" customHeight="1" x14ac:dyDescent="0.2">
      <c r="B62" s="139"/>
      <c r="C62" s="139"/>
      <c r="D62" s="139"/>
      <c r="E62" s="139"/>
      <c r="F62" s="139"/>
      <c r="G62" s="139"/>
      <c r="H62" s="139"/>
      <c r="I62" s="139"/>
      <c r="J62" s="139"/>
      <c r="K62" s="139"/>
      <c r="L62" s="139"/>
      <c r="M62" s="139"/>
      <c r="N62" s="139"/>
      <c r="O62" s="139"/>
      <c r="P62" s="139"/>
      <c r="Q62" s="101"/>
      <c r="R62" s="101"/>
      <c r="S62" s="101"/>
      <c r="T62" s="101"/>
      <c r="U62" s="101"/>
      <c r="V62" s="101"/>
      <c r="W62" s="101"/>
      <c r="X62" s="101"/>
    </row>
    <row r="63" spans="2:24" ht="10.25" customHeight="1" x14ac:dyDescent="0.2">
      <c r="B63" s="139"/>
      <c r="C63" s="139"/>
      <c r="D63" s="139"/>
      <c r="E63" s="139"/>
      <c r="F63" s="139"/>
      <c r="G63" s="139"/>
      <c r="H63" s="139"/>
      <c r="I63" s="139"/>
      <c r="J63" s="139"/>
      <c r="K63" s="139"/>
      <c r="L63" s="139"/>
      <c r="M63" s="139"/>
      <c r="N63" s="139"/>
      <c r="O63" s="139"/>
      <c r="P63" s="139"/>
      <c r="Q63" s="101"/>
      <c r="R63" s="101"/>
      <c r="S63" s="101"/>
      <c r="T63" s="101"/>
      <c r="U63" s="101"/>
      <c r="V63" s="101"/>
      <c r="W63" s="101"/>
      <c r="X63" s="101"/>
    </row>
    <row r="64" spans="2:24" x14ac:dyDescent="0.2">
      <c r="B64" s="139"/>
      <c r="C64" s="139"/>
      <c r="D64" s="139"/>
      <c r="E64" s="139"/>
      <c r="F64" s="139"/>
      <c r="G64" s="139"/>
      <c r="H64" s="139"/>
      <c r="I64" s="139"/>
      <c r="J64" s="139"/>
      <c r="K64" s="139"/>
      <c r="L64" s="139"/>
      <c r="M64" s="139"/>
      <c r="N64" s="139"/>
      <c r="O64" s="139"/>
      <c r="P64" s="139"/>
      <c r="Q64" s="101"/>
      <c r="R64" s="101"/>
      <c r="S64" s="101"/>
      <c r="T64" s="101"/>
      <c r="U64" s="101"/>
      <c r="V64" s="101"/>
      <c r="W64" s="101"/>
      <c r="X64" s="101"/>
    </row>
    <row r="65" spans="2:24" x14ac:dyDescent="0.2">
      <c r="B65" s="101"/>
      <c r="C65" s="101"/>
      <c r="D65" s="101"/>
      <c r="E65" s="101"/>
      <c r="F65" s="101"/>
      <c r="G65" s="101"/>
      <c r="H65" s="101"/>
      <c r="I65" s="101"/>
      <c r="J65" s="101"/>
      <c r="K65" s="101"/>
      <c r="L65" s="101"/>
      <c r="M65" s="101"/>
      <c r="N65" s="101"/>
      <c r="O65" s="101"/>
      <c r="P65" s="101"/>
      <c r="Q65" s="101"/>
      <c r="R65" s="101"/>
      <c r="S65" s="101"/>
      <c r="T65" s="101"/>
      <c r="U65" s="101"/>
      <c r="V65" s="101"/>
      <c r="W65" s="101"/>
      <c r="X65" s="101"/>
    </row>
    <row r="66" spans="2:24" x14ac:dyDescent="0.2">
      <c r="B66" s="101"/>
      <c r="C66" s="101"/>
      <c r="D66" s="101"/>
      <c r="E66" s="101"/>
      <c r="F66" s="101"/>
      <c r="G66" s="101"/>
      <c r="H66" s="101"/>
      <c r="I66" s="101"/>
      <c r="J66" s="101"/>
      <c r="K66" s="101"/>
      <c r="L66" s="101"/>
      <c r="M66" s="101"/>
      <c r="N66" s="101"/>
      <c r="O66" s="101"/>
      <c r="P66" s="101"/>
      <c r="Q66" s="101"/>
      <c r="R66" s="101"/>
      <c r="S66" s="101"/>
      <c r="T66" s="101"/>
      <c r="U66" s="101"/>
      <c r="V66" s="101"/>
      <c r="W66" s="101"/>
      <c r="X66" s="101"/>
    </row>
    <row r="67" spans="2:24" x14ac:dyDescent="0.2">
      <c r="B67" s="101"/>
      <c r="C67" s="101"/>
      <c r="D67" s="101"/>
      <c r="E67" s="101"/>
      <c r="F67" s="101"/>
      <c r="G67" s="101"/>
      <c r="H67" s="101"/>
      <c r="I67" s="101"/>
      <c r="J67" s="101"/>
      <c r="K67" s="101"/>
      <c r="L67" s="101"/>
      <c r="M67" s="101"/>
      <c r="N67" s="101"/>
      <c r="O67" s="101"/>
      <c r="P67" s="101"/>
      <c r="Q67" s="101"/>
      <c r="R67" s="101"/>
      <c r="S67" s="101"/>
      <c r="T67" s="101"/>
      <c r="U67" s="101"/>
      <c r="V67" s="101"/>
      <c r="W67" s="101"/>
      <c r="X67" s="101"/>
    </row>
    <row r="68" spans="2:24" x14ac:dyDescent="0.2">
      <c r="B68" s="101"/>
      <c r="C68" s="101"/>
      <c r="D68" s="101"/>
      <c r="E68" s="101"/>
      <c r="F68" s="101"/>
      <c r="G68" s="101"/>
      <c r="H68" s="101"/>
      <c r="I68" s="101"/>
      <c r="J68" s="101"/>
      <c r="K68" s="101"/>
      <c r="L68" s="101"/>
      <c r="M68" s="101"/>
      <c r="N68" s="101"/>
      <c r="O68" s="101"/>
      <c r="P68" s="101"/>
      <c r="Q68" s="101"/>
      <c r="R68" s="101"/>
      <c r="S68" s="101"/>
      <c r="T68" s="101"/>
      <c r="U68" s="101"/>
      <c r="V68" s="101"/>
      <c r="W68" s="101"/>
      <c r="X68" s="101"/>
    </row>
    <row r="69" spans="2:24" x14ac:dyDescent="0.2">
      <c r="B69" s="101"/>
      <c r="C69" s="101"/>
      <c r="D69" s="101"/>
      <c r="E69" s="101"/>
      <c r="F69" s="101"/>
      <c r="G69" s="101"/>
      <c r="H69" s="101"/>
      <c r="I69" s="101"/>
      <c r="J69" s="101"/>
      <c r="K69" s="101"/>
      <c r="L69" s="101"/>
      <c r="M69" s="101"/>
      <c r="N69" s="101"/>
      <c r="O69" s="101"/>
      <c r="P69" s="101"/>
      <c r="Q69" s="101"/>
      <c r="R69" s="101"/>
      <c r="S69" s="101"/>
      <c r="T69" s="101"/>
      <c r="U69" s="101"/>
      <c r="V69" s="101"/>
      <c r="W69" s="101"/>
      <c r="X69" s="101"/>
    </row>
    <row r="70" spans="2:24" x14ac:dyDescent="0.2">
      <c r="B70" s="101"/>
      <c r="C70" s="101"/>
      <c r="D70" s="101"/>
      <c r="E70" s="101"/>
      <c r="F70" s="101"/>
      <c r="G70" s="101"/>
      <c r="H70" s="101"/>
      <c r="I70" s="101"/>
      <c r="J70" s="101"/>
      <c r="K70" s="101"/>
      <c r="L70" s="101"/>
      <c r="M70" s="101"/>
      <c r="N70" s="101"/>
      <c r="O70" s="101"/>
      <c r="P70" s="101"/>
      <c r="Q70" s="101"/>
      <c r="R70" s="101"/>
      <c r="S70" s="101"/>
      <c r="T70" s="101"/>
      <c r="U70" s="101"/>
      <c r="V70" s="101"/>
      <c r="W70" s="101"/>
      <c r="X70" s="101"/>
    </row>
    <row r="71" spans="2:24" x14ac:dyDescent="0.2">
      <c r="B71" s="101"/>
      <c r="C71" s="101"/>
      <c r="D71" s="101"/>
      <c r="E71" s="101"/>
      <c r="F71" s="101"/>
      <c r="G71" s="101"/>
      <c r="H71" s="101"/>
      <c r="I71" s="101"/>
      <c r="J71" s="101"/>
      <c r="K71" s="101"/>
      <c r="L71" s="101"/>
      <c r="M71" s="101"/>
      <c r="N71" s="101"/>
      <c r="O71" s="101"/>
      <c r="P71" s="101"/>
      <c r="Q71" s="101"/>
      <c r="R71" s="101"/>
      <c r="S71" s="101"/>
      <c r="T71" s="101"/>
      <c r="U71" s="101"/>
      <c r="V71" s="101"/>
      <c r="W71" s="101"/>
      <c r="X71" s="101"/>
    </row>
    <row r="72" spans="2:24" ht="13" x14ac:dyDescent="0.3">
      <c r="B72" s="153" t="s">
        <v>89</v>
      </c>
      <c r="C72" s="101"/>
      <c r="D72" s="101"/>
      <c r="E72" s="101"/>
      <c r="F72" s="101"/>
      <c r="G72" s="101"/>
      <c r="H72" s="101"/>
      <c r="I72" s="101"/>
      <c r="J72" s="101"/>
      <c r="K72" s="101"/>
      <c r="L72" s="101"/>
      <c r="M72" s="101"/>
      <c r="N72" s="101"/>
      <c r="O72" s="101"/>
      <c r="P72" s="101"/>
      <c r="Q72" s="101"/>
      <c r="R72" s="101"/>
      <c r="S72" s="101"/>
      <c r="T72" s="101"/>
      <c r="U72" s="101"/>
      <c r="V72" s="101"/>
      <c r="W72" s="101"/>
      <c r="X72" s="101"/>
    </row>
    <row r="73" spans="2:24" ht="11" customHeight="1" x14ac:dyDescent="0.25">
      <c r="B73" s="152" t="str">
        <f>"Buildings - "&amp;$D$16</f>
        <v>Buildings - Residential buildings</v>
      </c>
      <c r="C73" s="101"/>
      <c r="D73" s="101"/>
      <c r="E73" s="101"/>
      <c r="F73" s="101"/>
      <c r="G73" s="101"/>
      <c r="H73" s="101"/>
      <c r="I73" s="101"/>
    </row>
    <row r="74" spans="2:24" ht="11" customHeight="1" x14ac:dyDescent="0.25">
      <c r="B74" s="101"/>
      <c r="C74" s="101"/>
      <c r="D74" s="140" t="str">
        <f>"Base year "&amp;input_base_year</f>
        <v>Base year 2017</v>
      </c>
      <c r="E74" s="141"/>
      <c r="F74" s="140" t="str">
        <f>"Target year "&amp;input_target_year</f>
        <v>Target year 2030</v>
      </c>
      <c r="G74" s="141"/>
      <c r="H74" s="140" t="s">
        <v>90</v>
      </c>
      <c r="I74" s="101"/>
    </row>
    <row r="75" spans="2:24" ht="5.5" customHeight="1" x14ac:dyDescent="0.2">
      <c r="B75" s="101"/>
      <c r="C75" s="101"/>
      <c r="D75" s="101"/>
      <c r="E75" s="101"/>
      <c r="F75" s="101"/>
      <c r="G75" s="101"/>
      <c r="H75" s="101"/>
      <c r="I75" s="101"/>
    </row>
    <row r="76" spans="2:24" ht="12.65" customHeight="1" x14ac:dyDescent="0.2">
      <c r="B76" s="149" t="s">
        <v>134</v>
      </c>
      <c r="C76" s="101"/>
      <c r="D76" s="142">
        <f>Calc!$G$20*Calc!$G$12/cst_kg_tonne</f>
        <v>280800</v>
      </c>
      <c r="E76" s="101"/>
      <c r="F76" s="142">
        <f ca="1">Calc!$G$21*Calc!$G$13/cst_kg_tonne</f>
        <v>166845.66447349335</v>
      </c>
      <c r="G76" s="101"/>
      <c r="H76" s="143">
        <f ca="1">-($F$76-$D$76)/$D$76</f>
        <v>0.405820283214055</v>
      </c>
      <c r="I76" s="101"/>
    </row>
    <row r="77" spans="2:24" ht="4.25" customHeight="1" x14ac:dyDescent="0.2">
      <c r="B77" s="101"/>
      <c r="C77" s="101"/>
      <c r="D77" s="101"/>
      <c r="E77" s="101"/>
      <c r="F77" s="101"/>
      <c r="G77" s="101"/>
      <c r="H77" s="101"/>
      <c r="I77" s="101"/>
    </row>
    <row r="78" spans="2:24" ht="13" x14ac:dyDescent="0.2">
      <c r="B78" s="149" t="s">
        <v>135</v>
      </c>
      <c r="C78" s="101"/>
      <c r="D78" s="142">
        <f>Calc!$G$20</f>
        <v>117</v>
      </c>
      <c r="E78" s="101"/>
      <c r="F78" s="144">
        <f ca="1">Calc!$G$21</f>
        <v>52.424350952475578</v>
      </c>
      <c r="G78" s="101"/>
      <c r="H78" s="143">
        <f ca="1">-($F$78-$D$78)/$D$78</f>
        <v>0.55192862433781553</v>
      </c>
    </row>
  </sheetData>
  <sheetProtection algorithmName="SHA-512" hashValue="TzlTR2ynKtsw1ZVblcoZihS0leqUsCpvoFesyQ6CcFmcdQTXoRGTBPa5s/AVVxDNGJ0vx7ZheDu8/vZ+RKe0Ag==" saltValue="vZzR8HNUPPdON0jINp4Rfg==" spinCount="100000" sheet="1" objects="1" scenarios="1"/>
  <mergeCells count="8">
    <mergeCell ref="L22:N22"/>
    <mergeCell ref="E3:L3"/>
    <mergeCell ref="J20:Q20"/>
    <mergeCell ref="J10:L10"/>
    <mergeCell ref="J12:Q15"/>
    <mergeCell ref="J16:O16"/>
    <mergeCell ref="J17:Q18"/>
    <mergeCell ref="J19:O19"/>
  </mergeCells>
  <dataValidations count="2">
    <dataValidation type="list" allowBlank="1" showInputMessage="1" showErrorMessage="1" sqref="D18" xr:uid="{1FB7D9A1-5781-42C3-BDF1-D732FAFEA737}">
      <formula1>List_target_year</formula1>
    </dataValidation>
    <dataValidation type="list" allowBlank="1" showInputMessage="1" showErrorMessage="1" sqref="D16" xr:uid="{1EEBB8DB-919D-43DA-BE42-0A455B81903A}">
      <formula1>List_asset_class_subsector</formula1>
    </dataValidation>
  </dataValidations>
  <hyperlinks>
    <hyperlink ref="H6" r:id="rId1" xr:uid="{36F31372-38AF-40F4-A894-D9EC84C3BCA4}"/>
    <hyperlink ref="J16" r:id="rId2" xr:uid="{00EF66D0-DA46-46B5-8D2F-A20BD482FBCB}"/>
    <hyperlink ref="J19" r:id="rId3" xr:uid="{3E9B8558-DD42-4EE8-8851-90A2D45CCD0C}"/>
  </hyperlinks>
  <pageMargins left="0.7" right="0.7" top="0.75" bottom="0.75" header="0.3" footer="0.3"/>
  <pageSetup paperSize="9" orientation="portrait" verticalDpi="0" r:id="rId4"/>
  <drawing r:id="rId5"/>
  <extLst>
    <ext xmlns:x14="http://schemas.microsoft.com/office/spreadsheetml/2009/9/main" uri="{78C0D931-6437-407d-A8EE-F0AAD7539E65}">
      <x14:conditionalFormattings>
        <x14:conditionalFormatting xmlns:xm="http://schemas.microsoft.com/office/excel/2006/main">
          <x14:cfRule type="expression" priority="2" id="{E711A69E-42A1-4983-8599-A969C4629C07}">
            <xm:f>$D$19=Admin!$B$19</xm:f>
            <x14:dxf>
              <font>
                <color theme="0" tint="-0.24994659260841701"/>
              </font>
              <fill>
                <patternFill>
                  <bgColor theme="0" tint="-0.24994659260841701"/>
                </patternFill>
              </fill>
            </x14:dxf>
          </x14:cfRule>
          <xm:sqref>D21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E73B01D5-9B98-401A-BC9A-FB877BCF37E6}">
          <x14:formula1>
            <xm:f>Admin!$D$11:$D$44</xm:f>
          </x14:formula1>
          <xm:sqref>D17</xm:sqref>
        </x14:dataValidation>
        <x14:dataValidation type="list" allowBlank="1" showInputMessage="1" showErrorMessage="1" xr:uid="{FF4205CB-0E63-44C3-9034-B6612D3D106C}">
          <x14:formula1>
            <xm:f>Admin!$B$11:$B$12</xm:f>
          </x14:formula1>
          <xm:sqref>D15</xm:sqref>
        </x14:dataValidation>
        <x14:dataValidation type="list" allowBlank="1" showInputMessage="1" showErrorMessage="1" xr:uid="{EDC3D5A4-88D8-43FB-886A-34A1675A2263}">
          <x14:formula1>
            <xm:f>Admin!$B$19:$B$20</xm:f>
          </x14:formula1>
          <xm:sqref>D19</xm:sqref>
        </x14:dataValidation>
        <x14:dataValidation type="custom" allowBlank="1" showInputMessage="1" showErrorMessage="1" errorTitle="Invalid input" error="This cell must be left blank if projected output measure is based on fixed market growth. " xr:uid="{3D721DBD-AA19-438B-A5D1-0FA6DCA40819}">
          <x14:formula1>
            <xm:f>$D$19&lt;&gt;Admin!$B$19</xm:f>
          </x14:formula1>
          <xm:sqref>D21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496FD-62FA-401B-9810-479654BD9C64}">
  <sheetPr>
    <tabColor theme="0" tint="-0.499984740745262"/>
  </sheetPr>
  <dimension ref="B2:BG145"/>
  <sheetViews>
    <sheetView showGridLines="0" zoomScaleNormal="100" workbookViewId="0"/>
  </sheetViews>
  <sheetFormatPr defaultColWidth="14.6640625" defaultRowHeight="10" x14ac:dyDescent="0.2"/>
  <cols>
    <col min="1" max="1" width="4.44140625" style="32" customWidth="1"/>
    <col min="2" max="2" width="4.6640625" style="32" customWidth="1"/>
    <col min="3" max="5" width="14.6640625" style="32" customWidth="1"/>
    <col min="6" max="6" width="20.109375" style="32" bestFit="1" customWidth="1"/>
    <col min="7" max="7" width="17.33203125" style="32" bestFit="1" customWidth="1"/>
    <col min="8" max="8" width="40.6640625" style="32" bestFit="1" customWidth="1"/>
    <col min="9" max="9" width="14.6640625" style="32" customWidth="1"/>
    <col min="10" max="16" width="14.6640625" style="32"/>
    <col min="17" max="17" width="28.6640625" style="32" bestFit="1" customWidth="1"/>
    <col min="18" max="16384" width="14.6640625" style="32"/>
  </cols>
  <sheetData>
    <row r="2" spans="2:59" s="101" customFormat="1" x14ac:dyDescent="0.2"/>
    <row r="3" spans="2:59" ht="59" customHeight="1" x14ac:dyDescent="0.2">
      <c r="H3" s="201" t="s">
        <v>106</v>
      </c>
      <c r="I3" s="201"/>
      <c r="J3" s="201"/>
      <c r="K3" s="201"/>
      <c r="L3" s="201"/>
      <c r="M3" s="201"/>
      <c r="N3" s="124"/>
      <c r="O3" s="124"/>
      <c r="P3" s="124"/>
      <c r="Q3" s="52"/>
      <c r="R3" s="52"/>
      <c r="S3" s="52"/>
      <c r="T3" s="52"/>
    </row>
    <row r="5" spans="2:59" ht="13" x14ac:dyDescent="0.2">
      <c r="H5" s="33" t="s">
        <v>35</v>
      </c>
      <c r="J5" s="34" t="str">
        <f>README!H5</f>
        <v>Version 1.2</v>
      </c>
    </row>
    <row r="6" spans="2:59" ht="13" x14ac:dyDescent="0.2">
      <c r="H6" s="33" t="s">
        <v>36</v>
      </c>
      <c r="J6" s="31" t="s">
        <v>39</v>
      </c>
    </row>
    <row r="7" spans="2:59" ht="36.5" customHeight="1" x14ac:dyDescent="0.35">
      <c r="B7" s="53"/>
      <c r="C7" s="53"/>
      <c r="D7" s="53"/>
      <c r="E7" s="53"/>
      <c r="F7" s="53"/>
      <c r="G7" s="53"/>
      <c r="H7" s="171" t="s">
        <v>157</v>
      </c>
      <c r="I7" s="53"/>
      <c r="J7" s="53"/>
      <c r="K7" s="53"/>
      <c r="L7" s="53"/>
      <c r="M7" s="53"/>
      <c r="N7" s="53"/>
      <c r="O7" s="53"/>
      <c r="P7" s="53"/>
    </row>
    <row r="8" spans="2:59" ht="25" x14ac:dyDescent="0.2">
      <c r="B8" s="70" t="s">
        <v>3</v>
      </c>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row>
    <row r="9" spans="2:59" ht="10.25" customHeight="1" x14ac:dyDescent="0.2">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row>
    <row r="10" spans="2:59" ht="18" x14ac:dyDescent="0.2">
      <c r="B10" s="76"/>
      <c r="C10" s="107" t="s">
        <v>18</v>
      </c>
      <c r="D10" s="55"/>
      <c r="E10" s="55"/>
      <c r="F10" s="55"/>
      <c r="G10" s="55"/>
      <c r="H10" s="55"/>
      <c r="I10" s="55"/>
      <c r="J10" s="55"/>
      <c r="K10" s="55"/>
      <c r="L10" s="55"/>
      <c r="M10" s="55"/>
      <c r="N10" s="55"/>
      <c r="O10" s="55"/>
      <c r="P10" s="55"/>
      <c r="Q10" s="55"/>
      <c r="R10" s="75"/>
      <c r="S10" s="107" t="s">
        <v>28</v>
      </c>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row>
    <row r="11" spans="2:59" s="34" customFormat="1" ht="10.25" customHeight="1" x14ac:dyDescent="0.2">
      <c r="B11" s="77"/>
      <c r="C11" s="79"/>
      <c r="D11" s="90"/>
      <c r="E11" s="90"/>
      <c r="F11" s="91"/>
      <c r="G11" s="91"/>
      <c r="H11" s="109" t="s">
        <v>29</v>
      </c>
      <c r="I11" s="91"/>
      <c r="J11" s="77"/>
      <c r="K11" s="77"/>
      <c r="L11" s="77"/>
      <c r="M11" s="77"/>
      <c r="N11" s="77"/>
      <c r="O11" s="77"/>
      <c r="P11" s="77"/>
      <c r="Q11" s="77"/>
      <c r="R11" s="77"/>
      <c r="S11" s="87" t="s">
        <v>27</v>
      </c>
      <c r="T11" s="87"/>
      <c r="U11" s="87" t="s">
        <v>107</v>
      </c>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row>
    <row r="12" spans="2:59" s="34" customFormat="1" ht="10.25" customHeight="1" x14ac:dyDescent="0.25">
      <c r="B12" s="77"/>
      <c r="C12" s="102" t="s">
        <v>19</v>
      </c>
      <c r="D12" s="103" t="s">
        <v>13</v>
      </c>
      <c r="E12" s="103" t="s">
        <v>0</v>
      </c>
      <c r="F12" s="104" t="s">
        <v>4</v>
      </c>
      <c r="G12" s="104" t="s">
        <v>20</v>
      </c>
      <c r="H12" s="105" t="s">
        <v>21</v>
      </c>
      <c r="I12" s="104">
        <v>2014</v>
      </c>
      <c r="J12" s="102">
        <v>2016</v>
      </c>
      <c r="K12" s="102">
        <v>2025</v>
      </c>
      <c r="L12" s="102">
        <v>2030</v>
      </c>
      <c r="M12" s="102">
        <v>2035</v>
      </c>
      <c r="N12" s="102">
        <v>2040</v>
      </c>
      <c r="O12" s="102">
        <v>2045</v>
      </c>
      <c r="P12" s="102">
        <v>2050</v>
      </c>
      <c r="Q12" s="102" t="s">
        <v>5</v>
      </c>
      <c r="R12" s="77"/>
      <c r="S12" s="102">
        <v>2016</v>
      </c>
      <c r="T12" s="102">
        <f>S12+1</f>
        <v>2017</v>
      </c>
      <c r="U12" s="102">
        <f t="shared" ref="U12:BA12" si="0">T12+1</f>
        <v>2018</v>
      </c>
      <c r="V12" s="102">
        <f t="shared" si="0"/>
        <v>2019</v>
      </c>
      <c r="W12" s="102">
        <f t="shared" si="0"/>
        <v>2020</v>
      </c>
      <c r="X12" s="102">
        <f t="shared" si="0"/>
        <v>2021</v>
      </c>
      <c r="Y12" s="102">
        <f t="shared" si="0"/>
        <v>2022</v>
      </c>
      <c r="Z12" s="102">
        <f t="shared" si="0"/>
        <v>2023</v>
      </c>
      <c r="AA12" s="102">
        <f t="shared" si="0"/>
        <v>2024</v>
      </c>
      <c r="AB12" s="102">
        <f t="shared" si="0"/>
        <v>2025</v>
      </c>
      <c r="AC12" s="102">
        <f t="shared" si="0"/>
        <v>2026</v>
      </c>
      <c r="AD12" s="102">
        <f t="shared" si="0"/>
        <v>2027</v>
      </c>
      <c r="AE12" s="102">
        <f t="shared" si="0"/>
        <v>2028</v>
      </c>
      <c r="AF12" s="102">
        <f t="shared" si="0"/>
        <v>2029</v>
      </c>
      <c r="AG12" s="102">
        <f t="shared" si="0"/>
        <v>2030</v>
      </c>
      <c r="AH12" s="102">
        <f t="shared" si="0"/>
        <v>2031</v>
      </c>
      <c r="AI12" s="102">
        <f t="shared" si="0"/>
        <v>2032</v>
      </c>
      <c r="AJ12" s="102">
        <f t="shared" si="0"/>
        <v>2033</v>
      </c>
      <c r="AK12" s="102">
        <f t="shared" si="0"/>
        <v>2034</v>
      </c>
      <c r="AL12" s="102">
        <f t="shared" si="0"/>
        <v>2035</v>
      </c>
      <c r="AM12" s="102">
        <f t="shared" si="0"/>
        <v>2036</v>
      </c>
      <c r="AN12" s="102">
        <f t="shared" si="0"/>
        <v>2037</v>
      </c>
      <c r="AO12" s="102">
        <f t="shared" si="0"/>
        <v>2038</v>
      </c>
      <c r="AP12" s="102">
        <f t="shared" si="0"/>
        <v>2039</v>
      </c>
      <c r="AQ12" s="102">
        <f t="shared" si="0"/>
        <v>2040</v>
      </c>
      <c r="AR12" s="102">
        <f t="shared" si="0"/>
        <v>2041</v>
      </c>
      <c r="AS12" s="102">
        <f t="shared" si="0"/>
        <v>2042</v>
      </c>
      <c r="AT12" s="102">
        <f t="shared" si="0"/>
        <v>2043</v>
      </c>
      <c r="AU12" s="102">
        <f t="shared" si="0"/>
        <v>2044</v>
      </c>
      <c r="AV12" s="102">
        <f t="shared" si="0"/>
        <v>2045</v>
      </c>
      <c r="AW12" s="102">
        <f t="shared" si="0"/>
        <v>2046</v>
      </c>
      <c r="AX12" s="102">
        <f t="shared" si="0"/>
        <v>2047</v>
      </c>
      <c r="AY12" s="102">
        <f t="shared" si="0"/>
        <v>2048</v>
      </c>
      <c r="AZ12" s="102">
        <f t="shared" si="0"/>
        <v>2049</v>
      </c>
      <c r="BA12" s="102">
        <f t="shared" si="0"/>
        <v>2050</v>
      </c>
      <c r="BB12" s="106"/>
      <c r="BC12" s="106"/>
      <c r="BD12" s="106"/>
      <c r="BE12" s="106"/>
      <c r="BF12" s="106"/>
      <c r="BG12" s="106"/>
    </row>
    <row r="13" spans="2:59" s="34" customFormat="1" x14ac:dyDescent="0.2">
      <c r="B13" s="80"/>
      <c r="C13" s="6"/>
      <c r="D13" s="30" t="s">
        <v>20</v>
      </c>
      <c r="E13" s="6" t="s">
        <v>10</v>
      </c>
      <c r="F13" s="6" t="s">
        <v>8</v>
      </c>
      <c r="G13" s="30" t="s">
        <v>105</v>
      </c>
      <c r="H13" s="16" t="str">
        <f>D13&amp;" "&amp;F13</f>
        <v>Activity Power generation</v>
      </c>
      <c r="I13" s="17">
        <v>23818.899236000001</v>
      </c>
      <c r="J13" s="19">
        <f>$I13-(($I13-$K13)/($K$12-$I$12)*($J$12-$I$12))</f>
        <v>24647.619283817545</v>
      </c>
      <c r="K13" s="17">
        <v>28376.859498996499</v>
      </c>
      <c r="L13" s="17">
        <v>30959.294532562999</v>
      </c>
      <c r="M13" s="17">
        <v>33824.816597586301</v>
      </c>
      <c r="N13" s="17">
        <v>37015.3351140183</v>
      </c>
      <c r="O13" s="17">
        <v>40481.302484141597</v>
      </c>
      <c r="P13" s="17">
        <v>44320.722868883997</v>
      </c>
      <c r="Q13" s="10" t="s">
        <v>166</v>
      </c>
      <c r="R13" s="77"/>
      <c r="S13" s="12">
        <f ca="1">IFERROR(IF(S$12=$P$12,$P13,
_xlfn.FORECAST.LINEAR(S$12,OFFSET($J13,0,MATCH(S$12,$J$12:$P$12,1)-1,1,2),
OFFSET($J$12,0,MATCH(S$12,$J$12:$P$12,1)-1,1,2))),NA())</f>
        <v>24647.619283817592</v>
      </c>
      <c r="T13" s="12">
        <f t="shared" ref="T13:BA20" ca="1" si="1">IFERROR(IF(T$12=$P$12,$P13,
_xlfn.FORECAST.LINEAR(T$12,OFFSET($J13,0,MATCH(T$12,$J$12:$P$12,1)-1,1,2),
OFFSET($J$12,0,MATCH(T$12,$J$12:$P$12,1)-1,1,2))),NA())</f>
        <v>25061.979307726375</v>
      </c>
      <c r="U13" s="12">
        <f t="shared" ca="1" si="1"/>
        <v>25476.339331635158</v>
      </c>
      <c r="V13" s="12">
        <f t="shared" ca="1" si="1"/>
        <v>25890.69935554394</v>
      </c>
      <c r="W13" s="12">
        <f t="shared" ca="1" si="1"/>
        <v>26305.059379452607</v>
      </c>
      <c r="X13" s="12">
        <f t="shared" ca="1" si="1"/>
        <v>26719.419403361389</v>
      </c>
      <c r="Y13" s="12">
        <f t="shared" ca="1" si="1"/>
        <v>27133.779427270172</v>
      </c>
      <c r="Z13" s="12">
        <f t="shared" ca="1" si="1"/>
        <v>27548.139451178955</v>
      </c>
      <c r="AA13" s="12">
        <f t="shared" ca="1" si="1"/>
        <v>27962.499475087738</v>
      </c>
      <c r="AB13" s="12">
        <f t="shared" ca="1" si="1"/>
        <v>28376.85949899652</v>
      </c>
      <c r="AC13" s="12">
        <f t="shared" ca="1" si="1"/>
        <v>28893.346505709924</v>
      </c>
      <c r="AD13" s="12">
        <f t="shared" ca="1" si="1"/>
        <v>29409.833512423211</v>
      </c>
      <c r="AE13" s="12">
        <f t="shared" ca="1" si="1"/>
        <v>29926.320519136498</v>
      </c>
      <c r="AF13" s="12">
        <f t="shared" ca="1" si="1"/>
        <v>30442.807525849785</v>
      </c>
      <c r="AG13" s="12">
        <f t="shared" ca="1" si="1"/>
        <v>30959.294532563072</v>
      </c>
      <c r="AH13" s="12">
        <f t="shared" ca="1" si="1"/>
        <v>31532.398945567664</v>
      </c>
      <c r="AI13" s="12">
        <f t="shared" ca="1" si="1"/>
        <v>32105.503358572256</v>
      </c>
      <c r="AJ13" s="12">
        <f t="shared" ca="1" si="1"/>
        <v>32678.607771577081</v>
      </c>
      <c r="AK13" s="12">
        <f t="shared" ca="1" si="1"/>
        <v>33251.712184581673</v>
      </c>
      <c r="AL13" s="12">
        <f t="shared" ca="1" si="1"/>
        <v>33824.816597586498</v>
      </c>
      <c r="AM13" s="12">
        <f t="shared" ca="1" si="1"/>
        <v>34462.920300872764</v>
      </c>
      <c r="AN13" s="12">
        <f t="shared" ca="1" si="1"/>
        <v>35101.024004159262</v>
      </c>
      <c r="AO13" s="12">
        <f t="shared" ca="1" si="1"/>
        <v>35739.127707445528</v>
      </c>
      <c r="AP13" s="12">
        <f t="shared" ca="1" si="1"/>
        <v>36377.231410732027</v>
      </c>
      <c r="AQ13" s="12">
        <f t="shared" ca="1" si="1"/>
        <v>37015.335114018293</v>
      </c>
      <c r="AR13" s="12">
        <f t="shared" ca="1" si="1"/>
        <v>37708.528588042827</v>
      </c>
      <c r="AS13" s="12">
        <f t="shared" ca="1" si="1"/>
        <v>38401.722062067594</v>
      </c>
      <c r="AT13" s="12">
        <f t="shared" ca="1" si="1"/>
        <v>39094.915536092129</v>
      </c>
      <c r="AU13" s="12">
        <f t="shared" ca="1" si="1"/>
        <v>39788.109010116896</v>
      </c>
      <c r="AV13" s="12">
        <f t="shared" ca="1" si="1"/>
        <v>40481.30248414143</v>
      </c>
      <c r="AW13" s="12">
        <f t="shared" ca="1" si="1"/>
        <v>41249.18656108994</v>
      </c>
      <c r="AX13" s="12">
        <f t="shared" ca="1" si="1"/>
        <v>42017.070638038451</v>
      </c>
      <c r="AY13" s="12">
        <f t="shared" ca="1" si="1"/>
        <v>42784.954714986961</v>
      </c>
      <c r="AZ13" s="12">
        <f t="shared" ca="1" si="1"/>
        <v>43552.838791935472</v>
      </c>
      <c r="BA13" s="12">
        <f t="shared" ca="1" si="1"/>
        <v>44320.722868883997</v>
      </c>
    </row>
    <row r="14" spans="2:59" s="34" customFormat="1" ht="13" x14ac:dyDescent="0.35">
      <c r="B14" s="85"/>
      <c r="C14" s="30" t="s">
        <v>1</v>
      </c>
      <c r="D14" s="30" t="s">
        <v>22</v>
      </c>
      <c r="E14" s="24" t="s">
        <v>112</v>
      </c>
      <c r="F14" s="6" t="s">
        <v>8</v>
      </c>
      <c r="G14" s="30"/>
      <c r="H14" s="16" t="str">
        <f>C14&amp;" "&amp;D14&amp;" "&amp;F14</f>
        <v>Scope 1 Emissions Power generation</v>
      </c>
      <c r="I14" s="18">
        <v>13625.004647</v>
      </c>
      <c r="J14" s="19">
        <f>$I14-(($I14-$K14)/($K$12-$I$12)*($J$12-$I$12))</f>
        <v>12851.264966368668</v>
      </c>
      <c r="K14" s="17">
        <v>9369.4364035276703</v>
      </c>
      <c r="L14" s="17">
        <v>7083.1994249231302</v>
      </c>
      <c r="M14" s="17">
        <v>4758.64902419596</v>
      </c>
      <c r="N14" s="17">
        <v>2661.9039102911502</v>
      </c>
      <c r="O14" s="17">
        <v>823.65980003171899</v>
      </c>
      <c r="P14" s="17">
        <v>-355.66926433015499</v>
      </c>
      <c r="Q14" s="10" t="s">
        <v>166</v>
      </c>
      <c r="R14" s="77"/>
      <c r="S14" s="12">
        <f t="shared" ref="S14:AH30" ca="1" si="2">IFERROR(IF(S$12=$P$12,$P14,
_xlfn.FORECAST.LINEAR(S$12,OFFSET($J14,0,MATCH(S$12,$J$12:$P$12,1)-1,1,2),
OFFSET($J$12,0,MATCH(S$12,$J$12:$P$12,1)-1,1,2))),NA())</f>
        <v>12851.264966368675</v>
      </c>
      <c r="T14" s="12">
        <f t="shared" ca="1" si="2"/>
        <v>12464.395126053016</v>
      </c>
      <c r="U14" s="12">
        <f t="shared" ca="1" si="2"/>
        <v>12077.525285737356</v>
      </c>
      <c r="V14" s="12">
        <f t="shared" ca="1" si="2"/>
        <v>11690.655445421697</v>
      </c>
      <c r="W14" s="12">
        <f t="shared" ca="1" si="2"/>
        <v>11303.785605106037</v>
      </c>
      <c r="X14" s="12">
        <f t="shared" ca="1" si="2"/>
        <v>10916.915764790378</v>
      </c>
      <c r="Y14" s="12">
        <f t="shared" ca="1" si="2"/>
        <v>10530.045924474718</v>
      </c>
      <c r="Z14" s="12">
        <f t="shared" ca="1" si="2"/>
        <v>10143.176084158942</v>
      </c>
      <c r="AA14" s="12">
        <f t="shared" ca="1" si="2"/>
        <v>9756.3062438432826</v>
      </c>
      <c r="AB14" s="12">
        <f t="shared" ca="1" si="2"/>
        <v>9369.4364035277395</v>
      </c>
      <c r="AC14" s="12">
        <f t="shared" ca="1" si="2"/>
        <v>8912.1890078068245</v>
      </c>
      <c r="AD14" s="12">
        <f t="shared" ca="1" si="2"/>
        <v>8454.9416120859096</v>
      </c>
      <c r="AE14" s="12">
        <f t="shared" ca="1" si="2"/>
        <v>7997.6942163649946</v>
      </c>
      <c r="AF14" s="12">
        <f t="shared" ca="1" si="2"/>
        <v>7540.4468206440797</v>
      </c>
      <c r="AG14" s="12">
        <f t="shared" ca="1" si="2"/>
        <v>7083.1994249231648</v>
      </c>
      <c r="AH14" s="12">
        <f t="shared" ca="1" si="2"/>
        <v>6618.2893447777024</v>
      </c>
      <c r="AI14" s="12">
        <f t="shared" ca="1" si="1"/>
        <v>6153.3792646322399</v>
      </c>
      <c r="AJ14" s="12">
        <f t="shared" ca="1" si="1"/>
        <v>5688.4691844867775</v>
      </c>
      <c r="AK14" s="12">
        <f t="shared" ca="1" si="1"/>
        <v>5223.5591043414315</v>
      </c>
      <c r="AL14" s="12">
        <f t="shared" ca="1" si="1"/>
        <v>4758.6490241959691</v>
      </c>
      <c r="AM14" s="12">
        <f t="shared" ca="1" si="1"/>
        <v>4339.3000014149584</v>
      </c>
      <c r="AN14" s="12">
        <f t="shared" ca="1" si="1"/>
        <v>3919.9509786339477</v>
      </c>
      <c r="AO14" s="12">
        <f t="shared" ca="1" si="1"/>
        <v>3500.6019558530534</v>
      </c>
      <c r="AP14" s="12">
        <f t="shared" ca="1" si="1"/>
        <v>3081.2529330720427</v>
      </c>
      <c r="AQ14" s="12">
        <f t="shared" ca="1" si="1"/>
        <v>2661.9039102910319</v>
      </c>
      <c r="AR14" s="12">
        <f t="shared" ca="1" si="1"/>
        <v>2294.2550882392097</v>
      </c>
      <c r="AS14" s="12">
        <f t="shared" ca="1" si="1"/>
        <v>1926.6062661872711</v>
      </c>
      <c r="AT14" s="12">
        <f t="shared" ca="1" si="1"/>
        <v>1558.9574441354489</v>
      </c>
      <c r="AU14" s="12">
        <f t="shared" ca="1" si="1"/>
        <v>1191.3086220835103</v>
      </c>
      <c r="AV14" s="12">
        <f t="shared" ca="1" si="1"/>
        <v>823.65980003168806</v>
      </c>
      <c r="AW14" s="12">
        <f t="shared" ca="1" si="1"/>
        <v>587.793987159268</v>
      </c>
      <c r="AX14" s="12">
        <f t="shared" ca="1" si="1"/>
        <v>351.92817428690614</v>
      </c>
      <c r="AY14" s="12">
        <f t="shared" ca="1" si="1"/>
        <v>116.06236141454428</v>
      </c>
      <c r="AZ14" s="12">
        <f t="shared" ca="1" si="1"/>
        <v>-119.80345145781757</v>
      </c>
      <c r="BA14" s="12">
        <f t="shared" ca="1" si="1"/>
        <v>-355.66926433015499</v>
      </c>
    </row>
    <row r="15" spans="2:59" ht="12" x14ac:dyDescent="0.2">
      <c r="B15" s="84"/>
      <c r="C15" s="30"/>
      <c r="D15" s="30" t="s">
        <v>20</v>
      </c>
      <c r="E15" s="24" t="s">
        <v>31</v>
      </c>
      <c r="F15" s="30" t="s">
        <v>6</v>
      </c>
      <c r="G15" s="30" t="s">
        <v>23</v>
      </c>
      <c r="H15" s="16" t="str">
        <f>D15&amp;" "&amp;F15</f>
        <v>Activity Service buildings</v>
      </c>
      <c r="I15" s="17" t="e">
        <f>NA()</f>
        <v>#N/A</v>
      </c>
      <c r="J15" s="18">
        <v>46292.115727322598</v>
      </c>
      <c r="K15" s="18">
        <v>56296</v>
      </c>
      <c r="L15" s="18">
        <v>62759.732596141599</v>
      </c>
      <c r="M15" s="18">
        <v>66901</v>
      </c>
      <c r="N15" s="18">
        <v>71316</v>
      </c>
      <c r="O15" s="18">
        <v>76022</v>
      </c>
      <c r="P15" s="18">
        <v>81038.906794464303</v>
      </c>
      <c r="Q15" s="11" t="s">
        <v>9</v>
      </c>
      <c r="R15" s="77"/>
      <c r="S15" s="12">
        <f t="shared" ca="1" si="2"/>
        <v>46292.115727322176</v>
      </c>
      <c r="T15" s="12">
        <f t="shared" ca="1" si="1"/>
        <v>47403.658424286172</v>
      </c>
      <c r="U15" s="12">
        <f t="shared" ca="1" si="1"/>
        <v>48515.201121250633</v>
      </c>
      <c r="V15" s="12">
        <f t="shared" ca="1" si="1"/>
        <v>49626.743818214629</v>
      </c>
      <c r="W15" s="12">
        <f t="shared" ca="1" si="1"/>
        <v>50738.286515178625</v>
      </c>
      <c r="X15" s="12">
        <f t="shared" ca="1" si="1"/>
        <v>51849.829212143086</v>
      </c>
      <c r="Y15" s="12">
        <f t="shared" ca="1" si="1"/>
        <v>52961.371909107082</v>
      </c>
      <c r="Z15" s="12">
        <f t="shared" ca="1" si="1"/>
        <v>54072.914606071077</v>
      </c>
      <c r="AA15" s="12">
        <f t="shared" ca="1" si="1"/>
        <v>55184.457303035539</v>
      </c>
      <c r="AB15" s="12">
        <f t="shared" ca="1" si="1"/>
        <v>56296</v>
      </c>
      <c r="AC15" s="12">
        <f t="shared" ca="1" si="1"/>
        <v>57588.746519228444</v>
      </c>
      <c r="AD15" s="12">
        <f t="shared" ca="1" si="1"/>
        <v>58881.493038456887</v>
      </c>
      <c r="AE15" s="12">
        <f t="shared" ca="1" si="1"/>
        <v>60174.239557684865</v>
      </c>
      <c r="AF15" s="12">
        <f t="shared" ca="1" si="1"/>
        <v>61466.986076913308</v>
      </c>
      <c r="AG15" s="12">
        <f t="shared" ca="1" si="1"/>
        <v>62759.732596141519</v>
      </c>
      <c r="AH15" s="12">
        <f t="shared" ca="1" si="1"/>
        <v>63587.986076913308</v>
      </c>
      <c r="AI15" s="12">
        <f t="shared" ca="1" si="1"/>
        <v>64416.239557685098</v>
      </c>
      <c r="AJ15" s="12">
        <f t="shared" ca="1" si="1"/>
        <v>65244.493038456654</v>
      </c>
      <c r="AK15" s="12">
        <f t="shared" ca="1" si="1"/>
        <v>66072.746519228444</v>
      </c>
      <c r="AL15" s="12">
        <f t="shared" ca="1" si="1"/>
        <v>66901</v>
      </c>
      <c r="AM15" s="12">
        <f t="shared" ca="1" si="1"/>
        <v>67784</v>
      </c>
      <c r="AN15" s="12">
        <f t="shared" ca="1" si="1"/>
        <v>68667</v>
      </c>
      <c r="AO15" s="12">
        <f t="shared" ca="1" si="1"/>
        <v>69550</v>
      </c>
      <c r="AP15" s="12">
        <f t="shared" ca="1" si="1"/>
        <v>70433</v>
      </c>
      <c r="AQ15" s="12">
        <f t="shared" ca="1" si="1"/>
        <v>71316</v>
      </c>
      <c r="AR15" s="12">
        <f t="shared" ca="1" si="1"/>
        <v>72257.200000000186</v>
      </c>
      <c r="AS15" s="12">
        <f t="shared" ca="1" si="1"/>
        <v>73198.40000000014</v>
      </c>
      <c r="AT15" s="12">
        <f t="shared" ca="1" si="1"/>
        <v>74139.600000000093</v>
      </c>
      <c r="AU15" s="12">
        <f t="shared" ca="1" si="1"/>
        <v>75080.800000000047</v>
      </c>
      <c r="AV15" s="12">
        <f t="shared" ca="1" si="1"/>
        <v>76021.999999999767</v>
      </c>
      <c r="AW15" s="12">
        <f t="shared" ca="1" si="1"/>
        <v>77025.381358892657</v>
      </c>
      <c r="AX15" s="12">
        <f t="shared" ca="1" si="1"/>
        <v>78028.762717785547</v>
      </c>
      <c r="AY15" s="12">
        <f t="shared" ca="1" si="1"/>
        <v>79032.144076678436</v>
      </c>
      <c r="AZ15" s="12">
        <f t="shared" ca="1" si="1"/>
        <v>80035.525435571326</v>
      </c>
      <c r="BA15" s="12">
        <f t="shared" ca="1" si="1"/>
        <v>81038.906794464303</v>
      </c>
    </row>
    <row r="16" spans="2:59" x14ac:dyDescent="0.2">
      <c r="B16" s="84"/>
      <c r="C16" s="30"/>
      <c r="D16" s="6" t="s">
        <v>24</v>
      </c>
      <c r="E16" s="6" t="s">
        <v>10</v>
      </c>
      <c r="F16" s="6" t="s">
        <v>6</v>
      </c>
      <c r="G16" s="30"/>
      <c r="H16" s="16" t="str">
        <f t="shared" ref="H16" si="3">D16&amp;" "&amp;F16</f>
        <v>Electricity use Service buildings</v>
      </c>
      <c r="I16" s="17">
        <v>4944.6261494306564</v>
      </c>
      <c r="J16" s="19">
        <f>$I16-(($I16-$K16)/($K$12-$I$12)*($J$12-$I$12))</f>
        <v>5054.9305948054889</v>
      </c>
      <c r="K16" s="17">
        <v>5551.3005989922376</v>
      </c>
      <c r="L16" s="17">
        <v>5725.9882203810675</v>
      </c>
      <c r="M16" s="17">
        <v>5954.6199773501758</v>
      </c>
      <c r="N16" s="17">
        <v>6121.2248592002379</v>
      </c>
      <c r="O16" s="17">
        <v>6231.2754788250759</v>
      </c>
      <c r="P16" s="17">
        <v>6289.0128080391733</v>
      </c>
      <c r="Q16" s="10" t="s">
        <v>167</v>
      </c>
      <c r="R16" s="77"/>
      <c r="S16" s="12">
        <f t="shared" ca="1" si="2"/>
        <v>5054.9305948054825</v>
      </c>
      <c r="T16" s="12">
        <f t="shared" ca="1" si="1"/>
        <v>5110.0828174929047</v>
      </c>
      <c r="U16" s="12">
        <f t="shared" ca="1" si="1"/>
        <v>5165.2350401803269</v>
      </c>
      <c r="V16" s="12">
        <f t="shared" ca="1" si="1"/>
        <v>5220.3872628677345</v>
      </c>
      <c r="W16" s="12">
        <f t="shared" ca="1" si="1"/>
        <v>5275.5394855551567</v>
      </c>
      <c r="X16" s="12">
        <f t="shared" ca="1" si="1"/>
        <v>5330.6917082425643</v>
      </c>
      <c r="Y16" s="12">
        <f t="shared" ca="1" si="1"/>
        <v>5385.8439309299865</v>
      </c>
      <c r="Z16" s="12">
        <f t="shared" ca="1" si="1"/>
        <v>5440.9961536174087</v>
      </c>
      <c r="AA16" s="12">
        <f t="shared" ca="1" si="1"/>
        <v>5496.1483763048163</v>
      </c>
      <c r="AB16" s="12">
        <f t="shared" ca="1" si="1"/>
        <v>5551.3005989922312</v>
      </c>
      <c r="AC16" s="12">
        <f t="shared" ca="1" si="1"/>
        <v>5586.2381232700063</v>
      </c>
      <c r="AD16" s="12">
        <f t="shared" ca="1" si="1"/>
        <v>5621.1756475477669</v>
      </c>
      <c r="AE16" s="12">
        <f t="shared" ca="1" si="1"/>
        <v>5656.1131718255274</v>
      </c>
      <c r="AF16" s="12">
        <f t="shared" ca="1" si="1"/>
        <v>5691.0506961033025</v>
      </c>
      <c r="AG16" s="12">
        <f t="shared" ca="1" si="1"/>
        <v>5725.9882203810557</v>
      </c>
      <c r="AH16" s="12">
        <f t="shared" ca="1" si="1"/>
        <v>5771.714571774879</v>
      </c>
      <c r="AI16" s="12">
        <f t="shared" ca="1" si="1"/>
        <v>5817.4409231687023</v>
      </c>
      <c r="AJ16" s="12">
        <f t="shared" ca="1" si="1"/>
        <v>5863.1672745625256</v>
      </c>
      <c r="AK16" s="12">
        <f t="shared" ca="1" si="1"/>
        <v>5908.8936259563488</v>
      </c>
      <c r="AL16" s="12">
        <f t="shared" ca="1" si="1"/>
        <v>5954.6199773501867</v>
      </c>
      <c r="AM16" s="12">
        <f t="shared" ca="1" si="1"/>
        <v>5987.9409537202009</v>
      </c>
      <c r="AN16" s="12">
        <f t="shared" ca="1" si="1"/>
        <v>6021.2619300902006</v>
      </c>
      <c r="AO16" s="12">
        <f t="shared" ca="1" si="1"/>
        <v>6054.5829064602149</v>
      </c>
      <c r="AP16" s="12">
        <f t="shared" ca="1" si="1"/>
        <v>6087.9038828302291</v>
      </c>
      <c r="AQ16" s="12">
        <f t="shared" ca="1" si="1"/>
        <v>6121.2248592002361</v>
      </c>
      <c r="AR16" s="12">
        <f t="shared" ca="1" si="1"/>
        <v>6143.2349831252068</v>
      </c>
      <c r="AS16" s="12">
        <f t="shared" ca="1" si="1"/>
        <v>6165.2451070501775</v>
      </c>
      <c r="AT16" s="12">
        <f t="shared" ca="1" si="1"/>
        <v>6187.2552309751409</v>
      </c>
      <c r="AU16" s="12">
        <f t="shared" ca="1" si="1"/>
        <v>6209.2653549001116</v>
      </c>
      <c r="AV16" s="12">
        <f t="shared" ca="1" si="1"/>
        <v>6231.275478825075</v>
      </c>
      <c r="AW16" s="12">
        <f t="shared" ca="1" si="1"/>
        <v>6242.8229446678961</v>
      </c>
      <c r="AX16" s="12">
        <f t="shared" ca="1" si="1"/>
        <v>6254.3704105107136</v>
      </c>
      <c r="AY16" s="12">
        <f t="shared" ca="1" si="1"/>
        <v>6265.9178763535347</v>
      </c>
      <c r="AZ16" s="12">
        <f t="shared" ca="1" si="1"/>
        <v>6277.4653421963558</v>
      </c>
      <c r="BA16" s="12">
        <f t="shared" ca="1" si="1"/>
        <v>6289.0128080391733</v>
      </c>
    </row>
    <row r="17" spans="2:53" ht="13.5" x14ac:dyDescent="0.35">
      <c r="B17" s="84"/>
      <c r="C17" s="30" t="s">
        <v>1</v>
      </c>
      <c r="D17" s="30" t="s">
        <v>17</v>
      </c>
      <c r="E17" s="24" t="s">
        <v>111</v>
      </c>
      <c r="F17" s="6" t="s">
        <v>6</v>
      </c>
      <c r="G17" s="30"/>
      <c r="H17" s="16" t="str">
        <f t="shared" ref="H17:H18" si="4">C17&amp;" "&amp;D17&amp;" "&amp;F17</f>
        <v>Scope 1 Intensity Service buildings</v>
      </c>
      <c r="I17" s="30" t="e">
        <f>NA()</f>
        <v>#N/A</v>
      </c>
      <c r="J17" s="20">
        <f t="shared" ref="J17:P17" si="5">J$20/J$15*cst_kg_tonne</f>
        <v>18.452477872946741</v>
      </c>
      <c r="K17" s="20">
        <f t="shared" si="5"/>
        <v>10.002366839096366</v>
      </c>
      <c r="L17" s="20">
        <f t="shared" si="5"/>
        <v>6.1003852156951464</v>
      </c>
      <c r="M17" s="20">
        <f t="shared" si="5"/>
        <v>4.8088321131797871</v>
      </c>
      <c r="N17" s="20">
        <f t="shared" si="5"/>
        <v>3.5397124161710418</v>
      </c>
      <c r="O17" s="20">
        <f t="shared" si="5"/>
        <v>2.5430122124702521</v>
      </c>
      <c r="P17" s="20">
        <f t="shared" si="5"/>
        <v>1.6271958706507954</v>
      </c>
      <c r="Q17" s="29"/>
      <c r="R17" s="77"/>
      <c r="S17" s="12">
        <f t="shared" ca="1" si="2"/>
        <v>18.452477872946702</v>
      </c>
      <c r="T17" s="12">
        <f t="shared" ca="1" si="1"/>
        <v>17.513576646963429</v>
      </c>
      <c r="U17" s="12">
        <f t="shared" ca="1" si="1"/>
        <v>16.574675420980157</v>
      </c>
      <c r="V17" s="12">
        <f t="shared" ca="1" si="1"/>
        <v>15.635774194996657</v>
      </c>
      <c r="W17" s="12">
        <f t="shared" ca="1" si="1"/>
        <v>14.696872969013384</v>
      </c>
      <c r="X17" s="12">
        <f t="shared" ca="1" si="1"/>
        <v>13.757971743029884</v>
      </c>
      <c r="Y17" s="12">
        <f t="shared" ca="1" si="1"/>
        <v>12.819070517046612</v>
      </c>
      <c r="Z17" s="12">
        <f t="shared" ca="1" si="1"/>
        <v>11.880169291063112</v>
      </c>
      <c r="AA17" s="12">
        <f t="shared" ca="1" si="1"/>
        <v>10.941268065079839</v>
      </c>
      <c r="AB17" s="12">
        <f t="shared" ca="1" si="1"/>
        <v>10.002366839096339</v>
      </c>
      <c r="AC17" s="12">
        <f t="shared" ca="1" si="1"/>
        <v>9.2219705144159434</v>
      </c>
      <c r="AD17" s="12">
        <f t="shared" ca="1" si="1"/>
        <v>8.4415741897357748</v>
      </c>
      <c r="AE17" s="12">
        <f t="shared" ca="1" si="1"/>
        <v>7.6611778650556062</v>
      </c>
      <c r="AF17" s="12">
        <f t="shared" ca="1" si="1"/>
        <v>6.8807815403752102</v>
      </c>
      <c r="AG17" s="12">
        <f t="shared" ca="1" si="1"/>
        <v>6.1003852156951552</v>
      </c>
      <c r="AH17" s="12">
        <f t="shared" ca="1" si="1"/>
        <v>5.8420745951921162</v>
      </c>
      <c r="AI17" s="12">
        <f t="shared" ca="1" si="1"/>
        <v>5.5837639746890773</v>
      </c>
      <c r="AJ17" s="12">
        <f t="shared" ca="1" si="1"/>
        <v>5.3254533541859246</v>
      </c>
      <c r="AK17" s="12">
        <f t="shared" ca="1" si="1"/>
        <v>5.0671427336828856</v>
      </c>
      <c r="AL17" s="12">
        <f t="shared" ca="1" si="1"/>
        <v>4.8088321131798466</v>
      </c>
      <c r="AM17" s="12">
        <f t="shared" ca="1" si="1"/>
        <v>4.5550081737781056</v>
      </c>
      <c r="AN17" s="12">
        <f t="shared" ca="1" si="1"/>
        <v>4.3011842343763647</v>
      </c>
      <c r="AO17" s="12">
        <f t="shared" ca="1" si="1"/>
        <v>4.0473602949746237</v>
      </c>
      <c r="AP17" s="12">
        <f t="shared" ca="1" si="1"/>
        <v>3.7935363555728827</v>
      </c>
      <c r="AQ17" s="12">
        <f t="shared" ca="1" si="1"/>
        <v>3.5397124161710281</v>
      </c>
      <c r="AR17" s="12">
        <f t="shared" ca="1" si="1"/>
        <v>3.3403723754308317</v>
      </c>
      <c r="AS17" s="12">
        <f t="shared" ca="1" si="1"/>
        <v>3.1410323346906921</v>
      </c>
      <c r="AT17" s="12">
        <f t="shared" ca="1" si="1"/>
        <v>2.9416922939505525</v>
      </c>
      <c r="AU17" s="12">
        <f t="shared" ca="1" si="1"/>
        <v>2.7423522532103561</v>
      </c>
      <c r="AV17" s="12">
        <f t="shared" ca="1" si="1"/>
        <v>2.5430122124702734</v>
      </c>
      <c r="AW17" s="12">
        <f t="shared" ca="1" si="1"/>
        <v>2.3598489441063748</v>
      </c>
      <c r="AX17" s="12">
        <f t="shared" ca="1" si="1"/>
        <v>2.1766856757424762</v>
      </c>
      <c r="AY17" s="12">
        <f t="shared" ca="1" si="1"/>
        <v>1.9935224073785776</v>
      </c>
      <c r="AZ17" s="12">
        <f t="shared" ca="1" si="1"/>
        <v>1.8103591390146789</v>
      </c>
      <c r="BA17" s="12">
        <f t="shared" ca="1" si="1"/>
        <v>1.6271958706507954</v>
      </c>
    </row>
    <row r="18" spans="2:53" ht="13.5" x14ac:dyDescent="0.35">
      <c r="B18" s="84"/>
      <c r="C18" s="30" t="s">
        <v>2</v>
      </c>
      <c r="D18" s="30" t="s">
        <v>17</v>
      </c>
      <c r="E18" s="24" t="s">
        <v>111</v>
      </c>
      <c r="F18" s="6" t="s">
        <v>6</v>
      </c>
      <c r="G18" s="30"/>
      <c r="H18" s="16" t="str">
        <f t="shared" si="4"/>
        <v>Scope 2 Intensity Service buildings</v>
      </c>
      <c r="I18" s="30" t="e">
        <f>NA()</f>
        <v>#N/A</v>
      </c>
      <c r="J18" s="22">
        <f t="shared" ref="J18:P18" si="6">J$21/J$15*cst_kg_tonne</f>
        <v>56.9349662703818</v>
      </c>
      <c r="K18" s="22">
        <f t="shared" si="6"/>
        <v>32.558646652025686</v>
      </c>
      <c r="L18" s="22">
        <f t="shared" si="6"/>
        <v>20.874100940317597</v>
      </c>
      <c r="M18" s="22">
        <f t="shared" si="6"/>
        <v>12.52188366571964</v>
      </c>
      <c r="N18" s="22">
        <f t="shared" si="6"/>
        <v>6.1725134601090348</v>
      </c>
      <c r="O18" s="22">
        <f t="shared" si="6"/>
        <v>1.6677503987172992</v>
      </c>
      <c r="P18" s="22">
        <f t="shared" si="6"/>
        <v>-0.62277103719868843</v>
      </c>
      <c r="Q18" s="29"/>
      <c r="R18" s="77"/>
      <c r="S18" s="12">
        <f t="shared" ca="1" si="2"/>
        <v>56.934966270382574</v>
      </c>
      <c r="T18" s="12">
        <f t="shared" ca="1" si="1"/>
        <v>54.226486312787529</v>
      </c>
      <c r="U18" s="12">
        <f t="shared" ca="1" si="1"/>
        <v>51.518006355192483</v>
      </c>
      <c r="V18" s="12">
        <f t="shared" ca="1" si="1"/>
        <v>48.809526397596528</v>
      </c>
      <c r="W18" s="12">
        <f t="shared" ca="1" si="1"/>
        <v>46.101046440001483</v>
      </c>
      <c r="X18" s="12">
        <f t="shared" ca="1" si="1"/>
        <v>43.392566482406437</v>
      </c>
      <c r="Y18" s="12">
        <f t="shared" ca="1" si="1"/>
        <v>40.684086524811391</v>
      </c>
      <c r="Z18" s="12">
        <f t="shared" ca="1" si="1"/>
        <v>37.975606567216346</v>
      </c>
      <c r="AA18" s="12">
        <f t="shared" ca="1" si="1"/>
        <v>35.2671266096213</v>
      </c>
      <c r="AB18" s="12">
        <f t="shared" ca="1" si="1"/>
        <v>32.558646652026255</v>
      </c>
      <c r="AC18" s="12">
        <f t="shared" ca="1" si="1"/>
        <v>30.221737509684317</v>
      </c>
      <c r="AD18" s="12">
        <f t="shared" ca="1" si="1"/>
        <v>27.884828367343289</v>
      </c>
      <c r="AE18" s="12">
        <f t="shared" ca="1" si="1"/>
        <v>25.547919225001351</v>
      </c>
      <c r="AF18" s="12">
        <f t="shared" ca="1" si="1"/>
        <v>23.211010082659413</v>
      </c>
      <c r="AG18" s="12">
        <f t="shared" ca="1" si="1"/>
        <v>20.874100940317476</v>
      </c>
      <c r="AH18" s="12">
        <f t="shared" ca="1" si="1"/>
        <v>19.203657485397798</v>
      </c>
      <c r="AI18" s="12">
        <f t="shared" ca="1" si="1"/>
        <v>17.533214030478121</v>
      </c>
      <c r="AJ18" s="12">
        <f t="shared" ca="1" si="1"/>
        <v>15.862770575558443</v>
      </c>
      <c r="AK18" s="12">
        <f t="shared" ca="1" si="1"/>
        <v>14.192327120638765</v>
      </c>
      <c r="AL18" s="12">
        <f t="shared" ca="1" si="1"/>
        <v>12.521883665719542</v>
      </c>
      <c r="AM18" s="12">
        <f t="shared" ca="1" si="1"/>
        <v>11.252009624597576</v>
      </c>
      <c r="AN18" s="12">
        <f t="shared" ca="1" si="1"/>
        <v>9.9821355834756105</v>
      </c>
      <c r="AO18" s="12">
        <f t="shared" ca="1" si="1"/>
        <v>8.7122615423531897</v>
      </c>
      <c r="AP18" s="12">
        <f t="shared" ca="1" si="1"/>
        <v>7.4423875012312237</v>
      </c>
      <c r="AQ18" s="12">
        <f t="shared" ca="1" si="1"/>
        <v>6.1725134601090303</v>
      </c>
      <c r="AR18" s="12">
        <f t="shared" ca="1" si="1"/>
        <v>5.2715608478306422</v>
      </c>
      <c r="AS18" s="12">
        <f t="shared" ca="1" si="1"/>
        <v>4.370608235552254</v>
      </c>
      <c r="AT18" s="12">
        <f t="shared" ca="1" si="1"/>
        <v>3.4696556232738658</v>
      </c>
      <c r="AU18" s="12">
        <f t="shared" ca="1" si="1"/>
        <v>2.5687030109954776</v>
      </c>
      <c r="AV18" s="12">
        <f t="shared" ca="1" si="1"/>
        <v>1.6677503987173168</v>
      </c>
      <c r="AW18" s="12">
        <f t="shared" ca="1" si="1"/>
        <v>1.2096461115340844</v>
      </c>
      <c r="AX18" s="12">
        <f t="shared" ca="1" si="1"/>
        <v>0.75154182435096573</v>
      </c>
      <c r="AY18" s="12">
        <f t="shared" ca="1" si="1"/>
        <v>0.29343753716773335</v>
      </c>
      <c r="AZ18" s="12">
        <f t="shared" ca="1" si="1"/>
        <v>-0.16466675001549902</v>
      </c>
      <c r="BA18" s="12">
        <f t="shared" ca="1" si="1"/>
        <v>-0.62277103719868843</v>
      </c>
    </row>
    <row r="19" spans="2:53" ht="13.5" x14ac:dyDescent="0.35">
      <c r="B19" s="84"/>
      <c r="C19" s="30" t="s">
        <v>15</v>
      </c>
      <c r="D19" s="30" t="s">
        <v>17</v>
      </c>
      <c r="E19" s="24" t="s">
        <v>111</v>
      </c>
      <c r="F19" s="6" t="s">
        <v>6</v>
      </c>
      <c r="G19" s="30"/>
      <c r="H19" s="16" t="str">
        <f>C19&amp;" "&amp;D19&amp;" "&amp;F19</f>
        <v>Scope 1+2 Intensity Service buildings</v>
      </c>
      <c r="I19" s="30" t="e">
        <f>NA()</f>
        <v>#N/A</v>
      </c>
      <c r="J19" s="23">
        <f t="shared" ref="J19:P19" si="7">(J$20+J$21)/J$15*cst_kg_tonne</f>
        <v>75.387444143328537</v>
      </c>
      <c r="K19" s="23">
        <f t="shared" si="7"/>
        <v>42.561013491122054</v>
      </c>
      <c r="L19" s="23">
        <f t="shared" si="7"/>
        <v>26.974486156012745</v>
      </c>
      <c r="M19" s="23">
        <f t="shared" si="7"/>
        <v>17.330715778899428</v>
      </c>
      <c r="N19" s="23">
        <f t="shared" si="7"/>
        <v>9.7122258762800762</v>
      </c>
      <c r="O19" s="23">
        <f t="shared" si="7"/>
        <v>4.210762611187552</v>
      </c>
      <c r="P19" s="23">
        <f t="shared" si="7"/>
        <v>1.0044248334521071</v>
      </c>
      <c r="Q19" s="29"/>
      <c r="R19" s="77"/>
      <c r="S19" s="12">
        <f t="shared" ca="1" si="2"/>
        <v>75.387444143328139</v>
      </c>
      <c r="T19" s="12">
        <f t="shared" ca="1" si="1"/>
        <v>71.740062959749594</v>
      </c>
      <c r="U19" s="12">
        <f t="shared" ca="1" si="1"/>
        <v>68.092681776171048</v>
      </c>
      <c r="V19" s="12">
        <f t="shared" ca="1" si="1"/>
        <v>64.445300592592503</v>
      </c>
      <c r="W19" s="12">
        <f t="shared" ca="1" si="1"/>
        <v>60.797919409014867</v>
      </c>
      <c r="X19" s="12">
        <f t="shared" ca="1" si="1"/>
        <v>57.150538225436321</v>
      </c>
      <c r="Y19" s="12">
        <f t="shared" ca="1" si="1"/>
        <v>53.503157041857776</v>
      </c>
      <c r="Z19" s="12">
        <f t="shared" ca="1" si="1"/>
        <v>49.85577585827923</v>
      </c>
      <c r="AA19" s="12">
        <f t="shared" ca="1" si="1"/>
        <v>46.208394674700685</v>
      </c>
      <c r="AB19" s="12">
        <f t="shared" ca="1" si="1"/>
        <v>42.56101349112123</v>
      </c>
      <c r="AC19" s="12">
        <f t="shared" ca="1" si="1"/>
        <v>39.443708024099578</v>
      </c>
      <c r="AD19" s="12">
        <f t="shared" ca="1" si="1"/>
        <v>36.326402557077927</v>
      </c>
      <c r="AE19" s="12">
        <f t="shared" ca="1" si="1"/>
        <v>33.209097090056275</v>
      </c>
      <c r="AF19" s="12">
        <f t="shared" ca="1" si="1"/>
        <v>30.091791623033714</v>
      </c>
      <c r="AG19" s="12">
        <f t="shared" ca="1" si="1"/>
        <v>26.974486156012517</v>
      </c>
      <c r="AH19" s="12">
        <f t="shared" ca="1" si="1"/>
        <v>25.045732080589914</v>
      </c>
      <c r="AI19" s="12">
        <f t="shared" ca="1" si="1"/>
        <v>23.116978005167311</v>
      </c>
      <c r="AJ19" s="12">
        <f t="shared" ca="1" si="1"/>
        <v>21.188223929744709</v>
      </c>
      <c r="AK19" s="12">
        <f t="shared" ca="1" si="1"/>
        <v>19.259469854322106</v>
      </c>
      <c r="AL19" s="12">
        <f t="shared" ca="1" si="1"/>
        <v>17.330715778899503</v>
      </c>
      <c r="AM19" s="12">
        <f t="shared" ca="1" si="1"/>
        <v>15.807017798375455</v>
      </c>
      <c r="AN19" s="12">
        <f t="shared" ca="1" si="1"/>
        <v>14.283319817851861</v>
      </c>
      <c r="AO19" s="12">
        <f t="shared" ca="1" si="1"/>
        <v>12.759621837327813</v>
      </c>
      <c r="AP19" s="12">
        <f t="shared" ca="1" si="1"/>
        <v>11.235923856803765</v>
      </c>
      <c r="AQ19" s="12">
        <f t="shared" ca="1" si="1"/>
        <v>9.7122258762801721</v>
      </c>
      <c r="AR19" s="12">
        <f t="shared" ca="1" si="1"/>
        <v>8.6119332232615307</v>
      </c>
      <c r="AS19" s="12">
        <f t="shared" ca="1" si="1"/>
        <v>7.5116405702428892</v>
      </c>
      <c r="AT19" s="12">
        <f t="shared" ca="1" si="1"/>
        <v>6.4113479172242478</v>
      </c>
      <c r="AU19" s="12">
        <f t="shared" ca="1" si="1"/>
        <v>5.3110552642060611</v>
      </c>
      <c r="AV19" s="12">
        <f t="shared" ca="1" si="1"/>
        <v>4.2107626111874197</v>
      </c>
      <c r="AW19" s="12">
        <f t="shared" ca="1" si="1"/>
        <v>3.5694950556403455</v>
      </c>
      <c r="AX19" s="12">
        <f t="shared" ca="1" si="1"/>
        <v>2.9282275000932714</v>
      </c>
      <c r="AY19" s="12">
        <f t="shared" ca="1" si="1"/>
        <v>2.2869599445461972</v>
      </c>
      <c r="AZ19" s="12">
        <f t="shared" ca="1" si="1"/>
        <v>1.6456923889991231</v>
      </c>
      <c r="BA19" s="12">
        <f t="shared" ca="1" si="1"/>
        <v>1.0044248334521071</v>
      </c>
    </row>
    <row r="20" spans="2:53" ht="13" x14ac:dyDescent="0.35">
      <c r="B20" s="84"/>
      <c r="C20" s="30" t="s">
        <v>1</v>
      </c>
      <c r="D20" s="30" t="s">
        <v>22</v>
      </c>
      <c r="E20" s="24" t="s">
        <v>112</v>
      </c>
      <c r="F20" s="30" t="s">
        <v>6</v>
      </c>
      <c r="G20" s="30"/>
      <c r="H20" s="16" t="str">
        <f>C20&amp;" "&amp;D20&amp;" "&amp;F20</f>
        <v>Scope 1 Emissions Service buildings</v>
      </c>
      <c r="I20" s="18">
        <v>918.895573945097</v>
      </c>
      <c r="J20" s="19">
        <f>$I20-(($I20-$K20)/($K$12-$I$12)*($J$12-$I$12))</f>
        <v>854.20424115031005</v>
      </c>
      <c r="K20" s="17">
        <v>563.09324357376897</v>
      </c>
      <c r="L20" s="17">
        <v>382.858544870483</v>
      </c>
      <c r="M20" s="17">
        <v>321.71567720384098</v>
      </c>
      <c r="N20" s="17">
        <v>252.43813067165399</v>
      </c>
      <c r="O20" s="17">
        <v>193.32487441641351</v>
      </c>
      <c r="P20" s="17">
        <v>131.86617449800701</v>
      </c>
      <c r="Q20" s="10" t="s">
        <v>167</v>
      </c>
      <c r="R20" s="77"/>
      <c r="S20" s="12">
        <f t="shared" ca="1" si="2"/>
        <v>854.20424115030619</v>
      </c>
      <c r="T20" s="12">
        <f t="shared" ca="1" si="1"/>
        <v>821.85857475291414</v>
      </c>
      <c r="U20" s="12">
        <f t="shared" ca="1" si="1"/>
        <v>789.51290835552209</v>
      </c>
      <c r="V20" s="12">
        <f t="shared" ca="1" si="1"/>
        <v>757.16724195813003</v>
      </c>
      <c r="W20" s="12">
        <f t="shared" ca="1" si="1"/>
        <v>724.82157556073071</v>
      </c>
      <c r="X20" s="12">
        <f t="shared" ca="1" si="1"/>
        <v>692.47590916333866</v>
      </c>
      <c r="Y20" s="12">
        <f t="shared" ca="1" si="1"/>
        <v>660.1302427659466</v>
      </c>
      <c r="Z20" s="12">
        <f t="shared" ca="1" si="1"/>
        <v>627.78457636855455</v>
      </c>
      <c r="AA20" s="12">
        <f t="shared" ca="1" si="1"/>
        <v>595.4389099711625</v>
      </c>
      <c r="AB20" s="12">
        <f t="shared" ca="1" si="1"/>
        <v>563.09324357376317</v>
      </c>
      <c r="AC20" s="12">
        <f t="shared" ca="1" si="1"/>
        <v>527.04630383310723</v>
      </c>
      <c r="AD20" s="12">
        <f t="shared" ca="1" si="1"/>
        <v>490.99936409245129</v>
      </c>
      <c r="AE20" s="12">
        <f t="shared" ca="1" si="1"/>
        <v>454.95242435179534</v>
      </c>
      <c r="AF20" s="12">
        <f t="shared" ca="1" si="1"/>
        <v>418.9054846111394</v>
      </c>
      <c r="AG20" s="12">
        <f t="shared" ca="1" si="1"/>
        <v>382.85854487048346</v>
      </c>
      <c r="AH20" s="12">
        <f t="shared" ca="1" si="1"/>
        <v>370.62997133715544</v>
      </c>
      <c r="AI20" s="12">
        <f t="shared" ca="1" si="1"/>
        <v>358.40139780382742</v>
      </c>
      <c r="AJ20" s="12">
        <f t="shared" ca="1" si="1"/>
        <v>346.1728242704994</v>
      </c>
      <c r="AK20" s="12">
        <f t="shared" ca="1" si="1"/>
        <v>333.94425073716775</v>
      </c>
      <c r="AL20" s="12">
        <f t="shared" ca="1" si="1"/>
        <v>321.71567720383973</v>
      </c>
      <c r="AM20" s="12">
        <f t="shared" ca="1" si="1"/>
        <v>307.86016789740461</v>
      </c>
      <c r="AN20" s="12">
        <f t="shared" ca="1" si="1"/>
        <v>294.00465859096585</v>
      </c>
      <c r="AO20" s="12">
        <f t="shared" ca="1" si="1"/>
        <v>280.14914928452708</v>
      </c>
      <c r="AP20" s="12">
        <f t="shared" ca="1" si="1"/>
        <v>266.29363997809196</v>
      </c>
      <c r="AQ20" s="12">
        <f t="shared" ca="1" si="1"/>
        <v>252.43813067165684</v>
      </c>
      <c r="AR20" s="12">
        <f t="shared" ca="1" si="1"/>
        <v>240.61547942060861</v>
      </c>
      <c r="AS20" s="12">
        <f t="shared" ca="1" si="1"/>
        <v>228.79282816956038</v>
      </c>
      <c r="AT20" s="12">
        <f t="shared" ca="1" si="1"/>
        <v>216.97017691851215</v>
      </c>
      <c r="AU20" s="12">
        <f t="shared" ca="1" si="1"/>
        <v>205.14752566746392</v>
      </c>
      <c r="AV20" s="12">
        <f t="shared" ca="1" si="1"/>
        <v>193.3248744164157</v>
      </c>
      <c r="AW20" s="12">
        <f t="shared" ca="1" si="1"/>
        <v>181.03313443273146</v>
      </c>
      <c r="AX20" s="12">
        <f t="shared" ca="1" si="1"/>
        <v>168.74139444905086</v>
      </c>
      <c r="AY20" s="12">
        <f t="shared" ca="1" si="1"/>
        <v>156.44965446537026</v>
      </c>
      <c r="AZ20" s="12">
        <f t="shared" ref="T20:BA28" ca="1" si="8">IFERROR(IF(AZ$12=$P$12,$P20,
_xlfn.FORECAST.LINEAR(AZ$12,OFFSET($J20,0,MATCH(AZ$12,$J$12:$P$12,1)-1,1,2),
OFFSET($J$12,0,MATCH(AZ$12,$J$12:$P$12,1)-1,1,2))),NA())</f>
        <v>144.15791448168966</v>
      </c>
      <c r="BA20" s="12">
        <f t="shared" ca="1" si="8"/>
        <v>131.86617449800701</v>
      </c>
    </row>
    <row r="21" spans="2:53" ht="13" x14ac:dyDescent="0.35">
      <c r="B21" s="84"/>
      <c r="C21" s="30" t="s">
        <v>2</v>
      </c>
      <c r="D21" s="30" t="s">
        <v>22</v>
      </c>
      <c r="E21" s="24" t="s">
        <v>112</v>
      </c>
      <c r="F21" s="6" t="s">
        <v>6</v>
      </c>
      <c r="G21" s="30"/>
      <c r="H21" s="16" t="str">
        <f>C21&amp;" "&amp;D21&amp;" "&amp;F21</f>
        <v>Scope 2 Emissions Service buildings</v>
      </c>
      <c r="I21" s="30" t="e">
        <f>NA()</f>
        <v>#N/A</v>
      </c>
      <c r="J21" s="21">
        <f>J$16*(J$14/J$13)</f>
        <v>2635.6400475197229</v>
      </c>
      <c r="K21" s="21">
        <f t="shared" ref="K21:P21" si="9">K$16*(K$14/K$13)</f>
        <v>1832.9215719224383</v>
      </c>
      <c r="L21" s="21">
        <f t="shared" si="9"/>
        <v>1310.0529931992003</v>
      </c>
      <c r="M21" s="21">
        <f t="shared" si="9"/>
        <v>837.72653912030967</v>
      </c>
      <c r="N21" s="21">
        <f t="shared" si="9"/>
        <v>440.19896992113598</v>
      </c>
      <c r="O21" s="21">
        <f t="shared" si="9"/>
        <v>126.78572081128652</v>
      </c>
      <c r="P21" s="21">
        <f t="shared" si="9"/>
        <v>-50.468684037836368</v>
      </c>
      <c r="Q21" s="29"/>
      <c r="R21" s="77"/>
      <c r="S21" s="12">
        <f t="shared" ca="1" si="2"/>
        <v>2635.6400475197297</v>
      </c>
      <c r="T21" s="12">
        <f t="shared" ca="1" si="8"/>
        <v>2546.4491057866835</v>
      </c>
      <c r="U21" s="12">
        <f t="shared" ca="1" si="8"/>
        <v>2457.2581640536664</v>
      </c>
      <c r="V21" s="12">
        <f t="shared" ca="1" si="8"/>
        <v>2368.0672223206202</v>
      </c>
      <c r="W21" s="12">
        <f t="shared" ca="1" si="8"/>
        <v>2278.8762805876031</v>
      </c>
      <c r="X21" s="12">
        <f t="shared" ca="1" si="8"/>
        <v>2189.6853388545569</v>
      </c>
      <c r="Y21" s="12">
        <f t="shared" ca="1" si="8"/>
        <v>2100.4943971215398</v>
      </c>
      <c r="Z21" s="12">
        <f t="shared" ca="1" si="8"/>
        <v>2011.3034553884936</v>
      </c>
      <c r="AA21" s="12">
        <f t="shared" ca="1" si="8"/>
        <v>1922.1125136554765</v>
      </c>
      <c r="AB21" s="12">
        <f t="shared" ca="1" si="8"/>
        <v>1832.9215719224303</v>
      </c>
      <c r="AC21" s="12">
        <f t="shared" ca="1" si="8"/>
        <v>1728.3478561777738</v>
      </c>
      <c r="AD21" s="12">
        <f t="shared" ca="1" si="8"/>
        <v>1623.7741404331464</v>
      </c>
      <c r="AE21" s="12">
        <f t="shared" ca="1" si="8"/>
        <v>1519.2004246884899</v>
      </c>
      <c r="AF21" s="12">
        <f t="shared" ca="1" si="8"/>
        <v>1414.6267089438334</v>
      </c>
      <c r="AG21" s="12">
        <f t="shared" ca="1" si="8"/>
        <v>1310.052993199206</v>
      </c>
      <c r="AH21" s="12">
        <f t="shared" ca="1" si="8"/>
        <v>1215.5877023834328</v>
      </c>
      <c r="AI21" s="12">
        <f t="shared" ca="1" si="8"/>
        <v>1121.1224115676596</v>
      </c>
      <c r="AJ21" s="12">
        <f t="shared" ca="1" si="8"/>
        <v>1026.6571207518864</v>
      </c>
      <c r="AK21" s="12">
        <f t="shared" ca="1" si="8"/>
        <v>932.1918299360841</v>
      </c>
      <c r="AL21" s="12">
        <f t="shared" ca="1" si="8"/>
        <v>837.72653912034002</v>
      </c>
      <c r="AM21" s="12">
        <f t="shared" ca="1" si="8"/>
        <v>758.22102528047981</v>
      </c>
      <c r="AN21" s="12">
        <f t="shared" ca="1" si="8"/>
        <v>678.7155114406487</v>
      </c>
      <c r="AO21" s="12">
        <f t="shared" ca="1" si="8"/>
        <v>599.20999760081759</v>
      </c>
      <c r="AP21" s="12">
        <f t="shared" ca="1" si="8"/>
        <v>519.70448376098648</v>
      </c>
      <c r="AQ21" s="12">
        <f t="shared" ca="1" si="8"/>
        <v>440.19896992114082</v>
      </c>
      <c r="AR21" s="12">
        <f t="shared" ca="1" si="8"/>
        <v>377.51632009916648</v>
      </c>
      <c r="AS21" s="12">
        <f t="shared" ca="1" si="8"/>
        <v>314.83367027719214</v>
      </c>
      <c r="AT21" s="12">
        <f t="shared" ca="1" si="8"/>
        <v>252.1510204552178</v>
      </c>
      <c r="AU21" s="12">
        <f t="shared" ca="1" si="8"/>
        <v>189.46837063325802</v>
      </c>
      <c r="AV21" s="12">
        <f t="shared" ca="1" si="8"/>
        <v>126.78572081129823</v>
      </c>
      <c r="AW21" s="12">
        <f t="shared" ca="1" si="8"/>
        <v>91.334839841467328</v>
      </c>
      <c r="AX21" s="12">
        <f t="shared" ca="1" si="8"/>
        <v>55.883958871650975</v>
      </c>
      <c r="AY21" s="12">
        <f t="shared" ca="1" si="8"/>
        <v>20.43307790182007</v>
      </c>
      <c r="AZ21" s="12">
        <f t="shared" ca="1" si="8"/>
        <v>-15.017803068010835</v>
      </c>
      <c r="BA21" s="12">
        <f t="shared" ca="1" si="8"/>
        <v>-50.468684037836368</v>
      </c>
    </row>
    <row r="22" spans="2:53" ht="13" x14ac:dyDescent="0.35">
      <c r="B22" s="84"/>
      <c r="C22" s="30" t="s">
        <v>15</v>
      </c>
      <c r="D22" s="30" t="s">
        <v>22</v>
      </c>
      <c r="E22" s="24" t="s">
        <v>112</v>
      </c>
      <c r="F22" s="30" t="s">
        <v>6</v>
      </c>
      <c r="G22" s="30"/>
      <c r="H22" s="16" t="str">
        <f>C22&amp;" "&amp;D22&amp;" "&amp;F22</f>
        <v>Scope 1+2 Emissions Service buildings</v>
      </c>
      <c r="I22" s="30" t="e">
        <f>NA()</f>
        <v>#N/A</v>
      </c>
      <c r="J22" s="19">
        <f>J$20+J$21</f>
        <v>3489.8442886700332</v>
      </c>
      <c r="K22" s="19">
        <f t="shared" ref="K22:P22" si="10">K$20+K$21</f>
        <v>2396.0148154962071</v>
      </c>
      <c r="L22" s="19">
        <f t="shared" si="10"/>
        <v>1692.9115380696833</v>
      </c>
      <c r="M22" s="19">
        <f t="shared" si="10"/>
        <v>1159.4422163241506</v>
      </c>
      <c r="N22" s="19">
        <f t="shared" si="10"/>
        <v>692.63710059278992</v>
      </c>
      <c r="O22" s="19">
        <f t="shared" si="10"/>
        <v>320.11059522770006</v>
      </c>
      <c r="P22" s="19">
        <f t="shared" si="10"/>
        <v>81.397490460170644</v>
      </c>
      <c r="Q22" s="29"/>
      <c r="R22" s="77"/>
      <c r="S22" s="12">
        <f t="shared" ca="1" si="2"/>
        <v>3489.8442886700213</v>
      </c>
      <c r="T22" s="12">
        <f t="shared" ca="1" si="8"/>
        <v>3368.3076805395831</v>
      </c>
      <c r="U22" s="12">
        <f t="shared" ca="1" si="8"/>
        <v>3246.7710724091448</v>
      </c>
      <c r="V22" s="12">
        <f t="shared" ca="1" si="8"/>
        <v>3125.2344642787357</v>
      </c>
      <c r="W22" s="12">
        <f t="shared" ca="1" si="8"/>
        <v>3003.6978561482974</v>
      </c>
      <c r="X22" s="12">
        <f t="shared" ca="1" si="8"/>
        <v>2882.1612480178883</v>
      </c>
      <c r="Y22" s="12">
        <f t="shared" ca="1" si="8"/>
        <v>2760.62463988745</v>
      </c>
      <c r="Z22" s="12">
        <f t="shared" ca="1" si="8"/>
        <v>2639.0880317570409</v>
      </c>
      <c r="AA22" s="12">
        <f t="shared" ca="1" si="8"/>
        <v>2517.5514236266026</v>
      </c>
      <c r="AB22" s="12">
        <f t="shared" ca="1" si="8"/>
        <v>2396.0148154962226</v>
      </c>
      <c r="AC22" s="12">
        <f t="shared" ca="1" si="8"/>
        <v>2255.3941600109101</v>
      </c>
      <c r="AD22" s="12">
        <f t="shared" ca="1" si="8"/>
        <v>2114.7735045255977</v>
      </c>
      <c r="AE22" s="12">
        <f t="shared" ca="1" si="8"/>
        <v>1974.1528490402852</v>
      </c>
      <c r="AF22" s="12">
        <f t="shared" ca="1" si="8"/>
        <v>1833.5321935549728</v>
      </c>
      <c r="AG22" s="12">
        <f t="shared" ca="1" si="8"/>
        <v>1692.9115380696603</v>
      </c>
      <c r="AH22" s="12">
        <f t="shared" ca="1" si="8"/>
        <v>1586.2176737205591</v>
      </c>
      <c r="AI22" s="12">
        <f t="shared" ca="1" si="8"/>
        <v>1479.5238093714579</v>
      </c>
      <c r="AJ22" s="12">
        <f t="shared" ca="1" si="8"/>
        <v>1372.8299450223567</v>
      </c>
      <c r="AK22" s="12">
        <f t="shared" ca="1" si="8"/>
        <v>1266.1360806732555</v>
      </c>
      <c r="AL22" s="12">
        <f t="shared" ca="1" si="8"/>
        <v>1159.4422163241543</v>
      </c>
      <c r="AM22" s="12">
        <f t="shared" ca="1" si="8"/>
        <v>1066.0811931778735</v>
      </c>
      <c r="AN22" s="12">
        <f t="shared" ca="1" si="8"/>
        <v>972.72017003162182</v>
      </c>
      <c r="AO22" s="12">
        <f t="shared" ca="1" si="8"/>
        <v>879.35914688534103</v>
      </c>
      <c r="AP22" s="12">
        <f t="shared" ca="1" si="8"/>
        <v>785.99812373906025</v>
      </c>
      <c r="AQ22" s="12">
        <f t="shared" ca="1" si="8"/>
        <v>692.63710059277946</v>
      </c>
      <c r="AR22" s="12">
        <f t="shared" ca="1" si="8"/>
        <v>618.13179951976053</v>
      </c>
      <c r="AS22" s="12">
        <f t="shared" ca="1" si="8"/>
        <v>543.62649844674161</v>
      </c>
      <c r="AT22" s="12">
        <f t="shared" ca="1" si="8"/>
        <v>469.12119737372268</v>
      </c>
      <c r="AU22" s="12">
        <f t="shared" ca="1" si="8"/>
        <v>394.61589630070375</v>
      </c>
      <c r="AV22" s="12">
        <f t="shared" ca="1" si="8"/>
        <v>320.11059522769938</v>
      </c>
      <c r="AW22" s="12">
        <f t="shared" ca="1" si="8"/>
        <v>272.36797427419515</v>
      </c>
      <c r="AX22" s="12">
        <f t="shared" ca="1" si="8"/>
        <v>224.62535332069092</v>
      </c>
      <c r="AY22" s="12">
        <f t="shared" ca="1" si="8"/>
        <v>176.88273236718669</v>
      </c>
      <c r="AZ22" s="12">
        <f t="shared" ca="1" si="8"/>
        <v>129.14011141368246</v>
      </c>
      <c r="BA22" s="12">
        <f t="shared" ca="1" si="8"/>
        <v>81.397490460170644</v>
      </c>
    </row>
    <row r="23" spans="2:53" ht="12" x14ac:dyDescent="0.2">
      <c r="B23" s="82"/>
      <c r="C23" s="30"/>
      <c r="D23" s="30" t="s">
        <v>20</v>
      </c>
      <c r="E23" s="24" t="s">
        <v>31</v>
      </c>
      <c r="F23" s="30" t="s">
        <v>7</v>
      </c>
      <c r="G23" s="30" t="s">
        <v>23</v>
      </c>
      <c r="H23" s="16" t="str">
        <f>D23&amp;" "&amp;F23</f>
        <v>Activity Residential buildings</v>
      </c>
      <c r="I23" s="17" t="e">
        <f>NA()</f>
        <v>#N/A</v>
      </c>
      <c r="J23" s="18">
        <v>189287.832324836</v>
      </c>
      <c r="K23" s="18">
        <v>230454</v>
      </c>
      <c r="L23" s="18">
        <v>257076.85416425401</v>
      </c>
      <c r="M23" s="18">
        <v>275529</v>
      </c>
      <c r="N23" s="18">
        <v>295306</v>
      </c>
      <c r="O23" s="18">
        <v>316502</v>
      </c>
      <c r="P23" s="18">
        <v>339220.30436816602</v>
      </c>
      <c r="Q23" s="11" t="s">
        <v>9</v>
      </c>
      <c r="R23" s="77"/>
      <c r="S23" s="12">
        <f t="shared" ca="1" si="2"/>
        <v>189287.8323248364</v>
      </c>
      <c r="T23" s="12">
        <f t="shared" ca="1" si="8"/>
        <v>193861.85095540993</v>
      </c>
      <c r="U23" s="12">
        <f t="shared" ca="1" si="8"/>
        <v>198435.86958598346</v>
      </c>
      <c r="V23" s="12">
        <f t="shared" ca="1" si="8"/>
        <v>203009.88821655698</v>
      </c>
      <c r="W23" s="12">
        <f t="shared" ca="1" si="8"/>
        <v>207583.90684713051</v>
      </c>
      <c r="X23" s="12">
        <f t="shared" ca="1" si="8"/>
        <v>212157.92547770403</v>
      </c>
      <c r="Y23" s="12">
        <f t="shared" ca="1" si="8"/>
        <v>216731.94410827756</v>
      </c>
      <c r="Z23" s="12">
        <f t="shared" ca="1" si="8"/>
        <v>221305.96273885295</v>
      </c>
      <c r="AA23" s="12">
        <f t="shared" ca="1" si="8"/>
        <v>225879.98136942647</v>
      </c>
      <c r="AB23" s="12">
        <f t="shared" ca="1" si="8"/>
        <v>230454</v>
      </c>
      <c r="AC23" s="12">
        <f t="shared" ca="1" si="8"/>
        <v>235778.57083285041</v>
      </c>
      <c r="AD23" s="12">
        <f t="shared" ca="1" si="8"/>
        <v>241103.14166570269</v>
      </c>
      <c r="AE23" s="12">
        <f t="shared" ca="1" si="8"/>
        <v>246427.7124985531</v>
      </c>
      <c r="AF23" s="12">
        <f t="shared" ca="1" si="8"/>
        <v>251752.28333140351</v>
      </c>
      <c r="AG23" s="12">
        <f t="shared" ca="1" si="8"/>
        <v>257076.85416425485</v>
      </c>
      <c r="AH23" s="12">
        <f t="shared" ca="1" si="8"/>
        <v>260767.28333140351</v>
      </c>
      <c r="AI23" s="12">
        <f t="shared" ca="1" si="8"/>
        <v>264457.7124985531</v>
      </c>
      <c r="AJ23" s="12">
        <f t="shared" ca="1" si="8"/>
        <v>268148.14166570175</v>
      </c>
      <c r="AK23" s="12">
        <f t="shared" ca="1" si="8"/>
        <v>271838.57083285134</v>
      </c>
      <c r="AL23" s="12">
        <f t="shared" ca="1" si="8"/>
        <v>275529</v>
      </c>
      <c r="AM23" s="12">
        <f t="shared" ca="1" si="8"/>
        <v>279484.40000000037</v>
      </c>
      <c r="AN23" s="12">
        <f t="shared" ca="1" si="8"/>
        <v>283439.79999999981</v>
      </c>
      <c r="AO23" s="12">
        <f t="shared" ca="1" si="8"/>
        <v>287395.20000000019</v>
      </c>
      <c r="AP23" s="12">
        <f t="shared" ca="1" si="8"/>
        <v>291350.60000000056</v>
      </c>
      <c r="AQ23" s="12">
        <f t="shared" ca="1" si="8"/>
        <v>295306</v>
      </c>
      <c r="AR23" s="12">
        <f t="shared" ca="1" si="8"/>
        <v>299545.19999999925</v>
      </c>
      <c r="AS23" s="12">
        <f t="shared" ca="1" si="8"/>
        <v>303784.40000000037</v>
      </c>
      <c r="AT23" s="12">
        <f t="shared" ca="1" si="8"/>
        <v>308023.59999999963</v>
      </c>
      <c r="AU23" s="12">
        <f t="shared" ca="1" si="8"/>
        <v>312262.79999999888</v>
      </c>
      <c r="AV23" s="12">
        <f t="shared" ca="1" si="8"/>
        <v>316501.99999999814</v>
      </c>
      <c r="AW23" s="12">
        <f t="shared" ca="1" si="8"/>
        <v>321045.66087363288</v>
      </c>
      <c r="AX23" s="12">
        <f t="shared" ca="1" si="8"/>
        <v>325589.32174726576</v>
      </c>
      <c r="AY23" s="12">
        <f t="shared" ca="1" si="8"/>
        <v>330132.98262089863</v>
      </c>
      <c r="AZ23" s="12">
        <f t="shared" ca="1" si="8"/>
        <v>334676.64349453151</v>
      </c>
      <c r="BA23" s="12">
        <f t="shared" ca="1" si="8"/>
        <v>339220.30436816602</v>
      </c>
    </row>
    <row r="24" spans="2:53" x14ac:dyDescent="0.2">
      <c r="B24" s="77"/>
      <c r="C24" s="30"/>
      <c r="D24" s="30" t="s">
        <v>24</v>
      </c>
      <c r="E24" s="6" t="s">
        <v>10</v>
      </c>
      <c r="F24" s="6" t="s">
        <v>7</v>
      </c>
      <c r="G24" s="6"/>
      <c r="H24" s="16" t="str">
        <f t="shared" ref="H24" si="11">D24&amp;" "&amp;F24</f>
        <v>Electricity use Residential buildings</v>
      </c>
      <c r="I24" s="17">
        <v>5674.1444348388659</v>
      </c>
      <c r="J24" s="19">
        <f>$I24-(($I24-$K24)/($K$12-$I$12)*($J$12-$I$12))</f>
        <v>5968.5060390685949</v>
      </c>
      <c r="K24" s="17">
        <v>7293.1332581023744</v>
      </c>
      <c r="L24" s="17">
        <v>8264.7517595839909</v>
      </c>
      <c r="M24" s="17">
        <v>9238.6442744107935</v>
      </c>
      <c r="N24" s="17">
        <v>10138.690596510914</v>
      </c>
      <c r="O24" s="17">
        <v>10937.64471112287</v>
      </c>
      <c r="P24" s="17">
        <v>11636.198325509355</v>
      </c>
      <c r="Q24" s="10" t="s">
        <v>167</v>
      </c>
      <c r="R24" s="77"/>
      <c r="S24" s="12">
        <f t="shared" ca="1" si="2"/>
        <v>5968.5060390685685</v>
      </c>
      <c r="T24" s="12">
        <f t="shared" ca="1" si="8"/>
        <v>6115.6868411834585</v>
      </c>
      <c r="U24" s="12">
        <f t="shared" ca="1" si="8"/>
        <v>6262.8676432982902</v>
      </c>
      <c r="V24" s="12">
        <f t="shared" ca="1" si="8"/>
        <v>6410.0484454131802</v>
      </c>
      <c r="W24" s="12">
        <f t="shared" ca="1" si="8"/>
        <v>6557.2292475280119</v>
      </c>
      <c r="X24" s="12">
        <f t="shared" ca="1" si="8"/>
        <v>6704.4100496429019</v>
      </c>
      <c r="Y24" s="12">
        <f t="shared" ca="1" si="8"/>
        <v>6851.5908517577336</v>
      </c>
      <c r="Z24" s="12">
        <f t="shared" ca="1" si="8"/>
        <v>6998.7716538726236</v>
      </c>
      <c r="AA24" s="12">
        <f t="shared" ca="1" si="8"/>
        <v>7145.9524559875135</v>
      </c>
      <c r="AB24" s="12">
        <f t="shared" ca="1" si="8"/>
        <v>7293.1332581024035</v>
      </c>
      <c r="AC24" s="12">
        <f t="shared" ca="1" si="8"/>
        <v>7487.4569583987468</v>
      </c>
      <c r="AD24" s="12">
        <f t="shared" ca="1" si="8"/>
        <v>7681.7806586950319</v>
      </c>
      <c r="AE24" s="12">
        <f t="shared" ca="1" si="8"/>
        <v>7876.1043589913752</v>
      </c>
      <c r="AF24" s="12">
        <f t="shared" ca="1" si="8"/>
        <v>8070.4280592877185</v>
      </c>
      <c r="AG24" s="12">
        <f t="shared" ca="1" si="8"/>
        <v>8264.7517595840036</v>
      </c>
      <c r="AH24" s="12">
        <f t="shared" ca="1" si="8"/>
        <v>8459.5302625493496</v>
      </c>
      <c r="AI24" s="12">
        <f t="shared" ca="1" si="8"/>
        <v>8654.3087655146956</v>
      </c>
      <c r="AJ24" s="12">
        <f t="shared" ca="1" si="8"/>
        <v>8849.0872684800415</v>
      </c>
      <c r="AK24" s="12">
        <f t="shared" ca="1" si="8"/>
        <v>9043.8657714453875</v>
      </c>
      <c r="AL24" s="12">
        <f t="shared" ca="1" si="8"/>
        <v>9238.6442744107917</v>
      </c>
      <c r="AM24" s="12">
        <f t="shared" ca="1" si="8"/>
        <v>9418.6535388308112</v>
      </c>
      <c r="AN24" s="12">
        <f t="shared" ca="1" si="8"/>
        <v>9598.6628032508306</v>
      </c>
      <c r="AO24" s="12">
        <f t="shared" ca="1" si="8"/>
        <v>9778.6720676708501</v>
      </c>
      <c r="AP24" s="12">
        <f t="shared" ca="1" si="8"/>
        <v>9958.6813320908695</v>
      </c>
      <c r="AQ24" s="12">
        <f t="shared" ca="1" si="8"/>
        <v>10138.690596510889</v>
      </c>
      <c r="AR24" s="12">
        <f t="shared" ca="1" si="8"/>
        <v>10298.481419433258</v>
      </c>
      <c r="AS24" s="12">
        <f t="shared" ca="1" si="8"/>
        <v>10458.272242355684</v>
      </c>
      <c r="AT24" s="12">
        <f t="shared" ca="1" si="8"/>
        <v>10618.063065278053</v>
      </c>
      <c r="AU24" s="12">
        <f t="shared" ca="1" si="8"/>
        <v>10777.853888200421</v>
      </c>
      <c r="AV24" s="12">
        <f t="shared" ca="1" si="8"/>
        <v>10937.644711122848</v>
      </c>
      <c r="AW24" s="12">
        <f t="shared" ca="1" si="8"/>
        <v>11077.355434000143</v>
      </c>
      <c r="AX24" s="12">
        <f t="shared" ca="1" si="8"/>
        <v>11217.066156877438</v>
      </c>
      <c r="AY24" s="12">
        <f t="shared" ca="1" si="8"/>
        <v>11356.776879754732</v>
      </c>
      <c r="AZ24" s="12">
        <f t="shared" ca="1" si="8"/>
        <v>11496.487602632027</v>
      </c>
      <c r="BA24" s="12">
        <f t="shared" ca="1" si="8"/>
        <v>11636.198325509355</v>
      </c>
    </row>
    <row r="25" spans="2:53" ht="13.5" x14ac:dyDescent="0.35">
      <c r="B25" s="83"/>
      <c r="C25" s="30" t="s">
        <v>1</v>
      </c>
      <c r="D25" s="30" t="s">
        <v>17</v>
      </c>
      <c r="E25" s="24" t="s">
        <v>111</v>
      </c>
      <c r="F25" s="6" t="s">
        <v>7</v>
      </c>
      <c r="G25" s="30"/>
      <c r="H25" s="16" t="str">
        <f t="shared" ref="H25:H30" si="12">C25&amp;" "&amp;D25&amp;" "&amp;F25</f>
        <v>Scope 1 Intensity Residential buildings</v>
      </c>
      <c r="I25" s="30" t="e">
        <f>NA()</f>
        <v>#N/A</v>
      </c>
      <c r="J25" s="20">
        <f t="shared" ref="J25:P25" si="13">J$28/J$23*cst_kg_tonne</f>
        <v>9.9551793884308069</v>
      </c>
      <c r="K25" s="20">
        <f t="shared" si="13"/>
        <v>6.4717061951008068</v>
      </c>
      <c r="L25" s="20">
        <f t="shared" si="13"/>
        <v>4.3529819422314224</v>
      </c>
      <c r="M25" s="20">
        <f t="shared" si="13"/>
        <v>2.975071084461999</v>
      </c>
      <c r="N25" s="20">
        <f t="shared" si="13"/>
        <v>2.1271221611644404</v>
      </c>
      <c r="O25" s="20">
        <f t="shared" si="13"/>
        <v>1.5530886349326098</v>
      </c>
      <c r="P25" s="20">
        <f t="shared" si="13"/>
        <v>1.0859132886915419</v>
      </c>
      <c r="Q25" s="29"/>
      <c r="R25" s="77"/>
      <c r="S25" s="12">
        <f t="shared" ca="1" si="2"/>
        <v>9.9551793884307926</v>
      </c>
      <c r="T25" s="12">
        <f t="shared" ca="1" si="8"/>
        <v>9.5681268113941087</v>
      </c>
      <c r="U25" s="12">
        <f t="shared" ca="1" si="8"/>
        <v>9.1810742343574248</v>
      </c>
      <c r="V25" s="12">
        <f t="shared" ca="1" si="8"/>
        <v>8.7940216573208545</v>
      </c>
      <c r="W25" s="12">
        <f t="shared" ca="1" si="8"/>
        <v>8.4069690802841706</v>
      </c>
      <c r="X25" s="12">
        <f t="shared" ca="1" si="8"/>
        <v>8.0199165032474866</v>
      </c>
      <c r="Y25" s="12">
        <f t="shared" ca="1" si="8"/>
        <v>7.6328639262108027</v>
      </c>
      <c r="Z25" s="12">
        <f t="shared" ca="1" si="8"/>
        <v>7.2458113491741187</v>
      </c>
      <c r="AA25" s="12">
        <f t="shared" ca="1" si="8"/>
        <v>6.8587587721374348</v>
      </c>
      <c r="AB25" s="12">
        <f t="shared" ca="1" si="8"/>
        <v>6.4717061951007508</v>
      </c>
      <c r="AC25" s="12">
        <f t="shared" ca="1" si="8"/>
        <v>6.0479613445269251</v>
      </c>
      <c r="AD25" s="12">
        <f t="shared" ca="1" si="8"/>
        <v>5.6242164939529857</v>
      </c>
      <c r="AE25" s="12">
        <f t="shared" ca="1" si="8"/>
        <v>5.20047164337916</v>
      </c>
      <c r="AF25" s="12">
        <f t="shared" ca="1" si="8"/>
        <v>4.7767267928053343</v>
      </c>
      <c r="AG25" s="12">
        <f t="shared" ca="1" si="8"/>
        <v>4.3529819422313949</v>
      </c>
      <c r="AH25" s="12">
        <f t="shared" ca="1" si="8"/>
        <v>4.0773997706775162</v>
      </c>
      <c r="AI25" s="12">
        <f t="shared" ca="1" si="8"/>
        <v>3.8018175991236376</v>
      </c>
      <c r="AJ25" s="12">
        <f t="shared" ca="1" si="8"/>
        <v>3.5262354275697589</v>
      </c>
      <c r="AK25" s="12">
        <f t="shared" ca="1" si="8"/>
        <v>3.2506532560158803</v>
      </c>
      <c r="AL25" s="12">
        <f t="shared" ca="1" si="8"/>
        <v>2.9750710844620016</v>
      </c>
      <c r="AM25" s="12">
        <f t="shared" ca="1" si="8"/>
        <v>2.8054812998025227</v>
      </c>
      <c r="AN25" s="12">
        <f t="shared" ca="1" si="8"/>
        <v>2.6358915151429869</v>
      </c>
      <c r="AO25" s="12">
        <f t="shared" ca="1" si="8"/>
        <v>2.466301730483508</v>
      </c>
      <c r="AP25" s="12">
        <f t="shared" ca="1" si="8"/>
        <v>2.2967119458239722</v>
      </c>
      <c r="AQ25" s="12">
        <f t="shared" ca="1" si="8"/>
        <v>2.1271221611644364</v>
      </c>
      <c r="AR25" s="12">
        <f t="shared" ca="1" si="8"/>
        <v>2.0123154559180705</v>
      </c>
      <c r="AS25" s="12">
        <f t="shared" ca="1" si="8"/>
        <v>1.8975087506717045</v>
      </c>
      <c r="AT25" s="12">
        <f t="shared" ca="1" si="8"/>
        <v>1.7827020454253386</v>
      </c>
      <c r="AU25" s="12">
        <f t="shared" ca="1" si="8"/>
        <v>1.6678953401789727</v>
      </c>
      <c r="AV25" s="12">
        <f t="shared" ca="1" si="8"/>
        <v>1.5530886349326352</v>
      </c>
      <c r="AW25" s="12">
        <f t="shared" ca="1" si="8"/>
        <v>1.4596535656844196</v>
      </c>
      <c r="AX25" s="12">
        <f t="shared" ca="1" si="8"/>
        <v>1.3662184964362041</v>
      </c>
      <c r="AY25" s="12">
        <f t="shared" ca="1" si="8"/>
        <v>1.2727834271879885</v>
      </c>
      <c r="AZ25" s="12">
        <f t="shared" ca="1" si="8"/>
        <v>1.179348357939773</v>
      </c>
      <c r="BA25" s="12">
        <f t="shared" ca="1" si="8"/>
        <v>1.0859132886915419</v>
      </c>
    </row>
    <row r="26" spans="2:53" ht="13.5" x14ac:dyDescent="0.35">
      <c r="B26" s="77"/>
      <c r="C26" s="30" t="s">
        <v>2</v>
      </c>
      <c r="D26" s="30" t="s">
        <v>17</v>
      </c>
      <c r="E26" s="24" t="s">
        <v>111</v>
      </c>
      <c r="F26" s="6" t="s">
        <v>7</v>
      </c>
      <c r="G26" s="30"/>
      <c r="H26" s="16" t="str">
        <f t="shared" si="12"/>
        <v>Scope 2 Intensity Residential buildings</v>
      </c>
      <c r="I26" s="30" t="e">
        <f>NA()</f>
        <v>#N/A</v>
      </c>
      <c r="J26" s="22">
        <f t="shared" ref="J26:P26" si="14">J$29/J$23*cst_kg_tonne</f>
        <v>16.440455298944311</v>
      </c>
      <c r="K26" s="22">
        <f t="shared" si="14"/>
        <v>10.449103625409331</v>
      </c>
      <c r="L26" s="22">
        <f t="shared" si="14"/>
        <v>7.3553822988740052</v>
      </c>
      <c r="M26" s="22">
        <f t="shared" si="14"/>
        <v>4.7172528255993891</v>
      </c>
      <c r="N26" s="22">
        <f t="shared" si="14"/>
        <v>2.4689954379780987</v>
      </c>
      <c r="O26" s="22">
        <f t="shared" si="14"/>
        <v>0.70313828595537786</v>
      </c>
      <c r="P26" s="22">
        <f t="shared" si="14"/>
        <v>-0.27527627112040115</v>
      </c>
      <c r="Q26" s="29"/>
      <c r="R26" s="77"/>
      <c r="S26" s="12">
        <f t="shared" ca="1" si="2"/>
        <v>16.440455298944244</v>
      </c>
      <c r="T26" s="12">
        <f t="shared" ca="1" si="8"/>
        <v>15.774749557440373</v>
      </c>
      <c r="U26" s="12">
        <f t="shared" ca="1" si="8"/>
        <v>15.109043815936502</v>
      </c>
      <c r="V26" s="12">
        <f t="shared" ca="1" si="8"/>
        <v>14.443338074432631</v>
      </c>
      <c r="W26" s="12">
        <f t="shared" ca="1" si="8"/>
        <v>13.777632332928761</v>
      </c>
      <c r="X26" s="12">
        <f t="shared" ca="1" si="8"/>
        <v>13.11192659142489</v>
      </c>
      <c r="Y26" s="12">
        <f t="shared" ca="1" si="8"/>
        <v>12.446220849921019</v>
      </c>
      <c r="Z26" s="12">
        <f t="shared" ca="1" si="8"/>
        <v>11.780515108417148</v>
      </c>
      <c r="AA26" s="12">
        <f t="shared" ca="1" si="8"/>
        <v>11.114809366913278</v>
      </c>
      <c r="AB26" s="12">
        <f t="shared" ca="1" si="8"/>
        <v>10.44910362540918</v>
      </c>
      <c r="AC26" s="12">
        <f t="shared" ca="1" si="8"/>
        <v>9.830359360102193</v>
      </c>
      <c r="AD26" s="12">
        <f t="shared" ca="1" si="8"/>
        <v>9.2116150947949791</v>
      </c>
      <c r="AE26" s="12">
        <f t="shared" ca="1" si="8"/>
        <v>8.5928708294879925</v>
      </c>
      <c r="AF26" s="12">
        <f t="shared" ca="1" si="8"/>
        <v>7.974126564181006</v>
      </c>
      <c r="AG26" s="12">
        <f t="shared" ca="1" si="8"/>
        <v>7.3553822988740194</v>
      </c>
      <c r="AH26" s="12">
        <f t="shared" ca="1" si="8"/>
        <v>6.8277564042191443</v>
      </c>
      <c r="AI26" s="12">
        <f t="shared" ca="1" si="8"/>
        <v>6.3001305095640419</v>
      </c>
      <c r="AJ26" s="12">
        <f t="shared" ca="1" si="8"/>
        <v>5.7725046149091668</v>
      </c>
      <c r="AK26" s="12">
        <f t="shared" ca="1" si="8"/>
        <v>5.2448787202542917</v>
      </c>
      <c r="AL26" s="12">
        <f t="shared" ca="1" si="8"/>
        <v>4.7172528255993029</v>
      </c>
      <c r="AM26" s="12">
        <f t="shared" ca="1" si="8"/>
        <v>4.267601348075118</v>
      </c>
      <c r="AN26" s="12">
        <f t="shared" ca="1" si="8"/>
        <v>3.8179498705508195</v>
      </c>
      <c r="AO26" s="12">
        <f t="shared" ca="1" si="8"/>
        <v>3.3682983930265209</v>
      </c>
      <c r="AP26" s="12">
        <f t="shared" ca="1" si="8"/>
        <v>2.918646915502336</v>
      </c>
      <c r="AQ26" s="12">
        <f t="shared" ca="1" si="8"/>
        <v>2.4689954379781511</v>
      </c>
      <c r="AR26" s="12">
        <f t="shared" ca="1" si="8"/>
        <v>2.1158240075735648</v>
      </c>
      <c r="AS26" s="12">
        <f t="shared" ca="1" si="8"/>
        <v>1.7626525771690922</v>
      </c>
      <c r="AT26" s="12">
        <f t="shared" ca="1" si="8"/>
        <v>1.4094811467645059</v>
      </c>
      <c r="AU26" s="12">
        <f t="shared" ca="1" si="8"/>
        <v>1.0563097163600332</v>
      </c>
      <c r="AV26" s="12">
        <f t="shared" ca="1" si="8"/>
        <v>0.70313828595539007</v>
      </c>
      <c r="AW26" s="12">
        <f t="shared" ca="1" si="8"/>
        <v>0.5074553745402568</v>
      </c>
      <c r="AX26" s="12">
        <f t="shared" ca="1" si="8"/>
        <v>0.31177246312506668</v>
      </c>
      <c r="AY26" s="12">
        <f t="shared" ca="1" si="8"/>
        <v>0.1160895517099334</v>
      </c>
      <c r="AZ26" s="12">
        <f t="shared" ca="1" si="8"/>
        <v>-7.9593359705199873E-2</v>
      </c>
      <c r="BA26" s="12">
        <f t="shared" ca="1" si="8"/>
        <v>-0.27527627112040115</v>
      </c>
    </row>
    <row r="27" spans="2:53" ht="13.5" x14ac:dyDescent="0.35">
      <c r="B27" s="76"/>
      <c r="C27" s="30" t="s">
        <v>15</v>
      </c>
      <c r="D27" s="30" t="s">
        <v>17</v>
      </c>
      <c r="E27" s="24" t="s">
        <v>111</v>
      </c>
      <c r="F27" s="6" t="s">
        <v>7</v>
      </c>
      <c r="G27" s="30"/>
      <c r="H27" s="16" t="str">
        <f t="shared" si="12"/>
        <v>Scope 1+2 Intensity Residential buildings</v>
      </c>
      <c r="I27" s="30" t="e">
        <f>NA()</f>
        <v>#N/A</v>
      </c>
      <c r="J27" s="23">
        <f t="shared" ref="J27:P27" si="15">(J$28+J$29)/J$23*cst_kg_tonne</f>
        <v>26.395634687375118</v>
      </c>
      <c r="K27" s="23">
        <f t="shared" si="15"/>
        <v>16.920809820510136</v>
      </c>
      <c r="L27" s="23">
        <f t="shared" si="15"/>
        <v>11.708364241105427</v>
      </c>
      <c r="M27" s="23">
        <f t="shared" si="15"/>
        <v>7.6923239100613872</v>
      </c>
      <c r="N27" s="23">
        <f t="shared" si="15"/>
        <v>4.5961175991425387</v>
      </c>
      <c r="O27" s="23">
        <f t="shared" si="15"/>
        <v>2.2562269208879875</v>
      </c>
      <c r="P27" s="23">
        <f t="shared" si="15"/>
        <v>0.81063701757114071</v>
      </c>
      <c r="Q27" s="29"/>
      <c r="R27" s="77"/>
      <c r="S27" s="12">
        <f t="shared" ca="1" si="2"/>
        <v>26.39563468737515</v>
      </c>
      <c r="T27" s="12">
        <f t="shared" ca="1" si="8"/>
        <v>25.342876368834368</v>
      </c>
      <c r="U27" s="12">
        <f t="shared" ca="1" si="8"/>
        <v>24.290118050294041</v>
      </c>
      <c r="V27" s="12">
        <f t="shared" ca="1" si="8"/>
        <v>23.237359731753259</v>
      </c>
      <c r="W27" s="12">
        <f t="shared" ca="1" si="8"/>
        <v>22.184601413212931</v>
      </c>
      <c r="X27" s="12">
        <f t="shared" ca="1" si="8"/>
        <v>21.131843094672149</v>
      </c>
      <c r="Y27" s="12">
        <f t="shared" ca="1" si="8"/>
        <v>20.079084776131822</v>
      </c>
      <c r="Z27" s="12">
        <f t="shared" ca="1" si="8"/>
        <v>19.02632645759104</v>
      </c>
      <c r="AA27" s="12">
        <f t="shared" ca="1" si="8"/>
        <v>17.973568139050712</v>
      </c>
      <c r="AB27" s="12">
        <f t="shared" ca="1" si="8"/>
        <v>16.92080982050993</v>
      </c>
      <c r="AC27" s="12">
        <f t="shared" ca="1" si="8"/>
        <v>15.878320704629004</v>
      </c>
      <c r="AD27" s="12">
        <f t="shared" ca="1" si="8"/>
        <v>14.835831588748079</v>
      </c>
      <c r="AE27" s="12">
        <f t="shared" ca="1" si="8"/>
        <v>13.793342472867153</v>
      </c>
      <c r="AF27" s="12">
        <f t="shared" ca="1" si="8"/>
        <v>12.750853356986227</v>
      </c>
      <c r="AG27" s="12">
        <f t="shared" ca="1" si="8"/>
        <v>11.708364241105301</v>
      </c>
      <c r="AH27" s="12">
        <f t="shared" ca="1" si="8"/>
        <v>10.905156174896547</v>
      </c>
      <c r="AI27" s="12">
        <f t="shared" ca="1" si="8"/>
        <v>10.101948108687793</v>
      </c>
      <c r="AJ27" s="12">
        <f t="shared" ca="1" si="8"/>
        <v>9.2987400424790394</v>
      </c>
      <c r="AK27" s="12">
        <f t="shared" ca="1" si="8"/>
        <v>8.4955319762700583</v>
      </c>
      <c r="AL27" s="12">
        <f t="shared" ca="1" si="8"/>
        <v>7.6923239100615319</v>
      </c>
      <c r="AM27" s="12">
        <f t="shared" ca="1" si="8"/>
        <v>7.0730826478777544</v>
      </c>
      <c r="AN27" s="12">
        <f t="shared" ca="1" si="8"/>
        <v>6.4538413856939769</v>
      </c>
      <c r="AO27" s="12">
        <f t="shared" ca="1" si="8"/>
        <v>5.8346001235101994</v>
      </c>
      <c r="AP27" s="12">
        <f t="shared" ca="1" si="8"/>
        <v>5.2153588613264219</v>
      </c>
      <c r="AQ27" s="12">
        <f t="shared" ca="1" si="8"/>
        <v>4.5961175991425307</v>
      </c>
      <c r="AR27" s="12">
        <f t="shared" ca="1" si="8"/>
        <v>4.1281394634916069</v>
      </c>
      <c r="AS27" s="12">
        <f t="shared" ca="1" si="8"/>
        <v>3.660161327840683</v>
      </c>
      <c r="AT27" s="12">
        <f t="shared" ca="1" si="8"/>
        <v>3.1921831921897592</v>
      </c>
      <c r="AU27" s="12">
        <f t="shared" ca="1" si="8"/>
        <v>2.7242050565389491</v>
      </c>
      <c r="AV27" s="12">
        <f t="shared" ca="1" si="8"/>
        <v>2.2562269208880252</v>
      </c>
      <c r="AW27" s="12">
        <f t="shared" ca="1" si="8"/>
        <v>1.967108940224648</v>
      </c>
      <c r="AX27" s="12">
        <f t="shared" ca="1" si="8"/>
        <v>1.6779909595612708</v>
      </c>
      <c r="AY27" s="12">
        <f t="shared" ca="1" si="8"/>
        <v>1.3888729788978935</v>
      </c>
      <c r="AZ27" s="12">
        <f t="shared" ca="1" si="8"/>
        <v>1.0997549982345163</v>
      </c>
      <c r="BA27" s="12">
        <f t="shared" ca="1" si="8"/>
        <v>0.81063701757114071</v>
      </c>
    </row>
    <row r="28" spans="2:53" ht="13" x14ac:dyDescent="0.35">
      <c r="B28" s="77"/>
      <c r="C28" s="30" t="s">
        <v>1</v>
      </c>
      <c r="D28" s="30" t="s">
        <v>22</v>
      </c>
      <c r="E28" s="24" t="s">
        <v>112</v>
      </c>
      <c r="F28" s="6" t="s">
        <v>7</v>
      </c>
      <c r="G28" s="30"/>
      <c r="H28" s="16" t="str">
        <f t="shared" si="12"/>
        <v>Scope 1 Emissions Residential buildings</v>
      </c>
      <c r="I28" s="17">
        <v>1971.7196040309964</v>
      </c>
      <c r="J28" s="19">
        <f>$I28-(($I28-$K28)/($K$12-$I$12)*($J$12-$I$12))</f>
        <v>1884.3943268409537</v>
      </c>
      <c r="K28" s="17">
        <v>1491.4305794857614</v>
      </c>
      <c r="L28" s="17">
        <v>1119.0509039426586</v>
      </c>
      <c r="M28" s="17">
        <v>819.71836083073015</v>
      </c>
      <c r="N28" s="17">
        <v>628.15193692482615</v>
      </c>
      <c r="O28" s="17">
        <v>491.55565913344083</v>
      </c>
      <c r="P28" s="17">
        <v>368.36383630738101</v>
      </c>
      <c r="Q28" s="10" t="s">
        <v>167</v>
      </c>
      <c r="R28" s="77"/>
      <c r="S28" s="12">
        <f t="shared" ca="1" si="2"/>
        <v>1884.3943268409494</v>
      </c>
      <c r="T28" s="12">
        <f t="shared" ca="1" si="8"/>
        <v>1840.7316882459272</v>
      </c>
      <c r="U28" s="12">
        <f t="shared" ca="1" si="8"/>
        <v>1797.0690496509051</v>
      </c>
      <c r="V28" s="12">
        <f t="shared" ca="1" si="8"/>
        <v>1753.4064110558829</v>
      </c>
      <c r="W28" s="12">
        <f t="shared" ca="1" si="8"/>
        <v>1709.7437724608608</v>
      </c>
      <c r="X28" s="12">
        <f t="shared" ca="1" si="8"/>
        <v>1666.0811338658532</v>
      </c>
      <c r="Y28" s="12">
        <f t="shared" ca="1" si="8"/>
        <v>1622.418495270831</v>
      </c>
      <c r="Z28" s="12">
        <f t="shared" ca="1" si="8"/>
        <v>1578.7558566758089</v>
      </c>
      <c r="AA28" s="12">
        <f t="shared" ca="1" si="8"/>
        <v>1535.0932180807868</v>
      </c>
      <c r="AB28" s="12">
        <f t="shared" ca="1" si="8"/>
        <v>1491.4305794857792</v>
      </c>
      <c r="AC28" s="12">
        <f t="shared" ca="1" si="8"/>
        <v>1416.9546443771687</v>
      </c>
      <c r="AD28" s="12">
        <f t="shared" ca="1" si="8"/>
        <v>1342.4787092685292</v>
      </c>
      <c r="AE28" s="12">
        <f t="shared" ca="1" si="8"/>
        <v>1268.0027741599188</v>
      </c>
      <c r="AF28" s="12">
        <f t="shared" ca="1" si="8"/>
        <v>1193.5268390513083</v>
      </c>
      <c r="AG28" s="12">
        <f t="shared" ca="1" si="8"/>
        <v>1119.0509039426543</v>
      </c>
      <c r="AH28" s="12">
        <f t="shared" ca="1" si="8"/>
        <v>1059.184395320277</v>
      </c>
      <c r="AI28" s="12">
        <f t="shared" ref="T28:BA30" ca="1" si="16">IFERROR(IF(AI$12=$P$12,$P28,
_xlfn.FORECAST.LINEAR(AI$12,OFFSET($J28,0,MATCH(AI$12,$J$12:$P$12,1)-1,1,2),
OFFSET($J$12,0,MATCH(AI$12,$J$12:$P$12,1)-1,1,2))),NA())</f>
        <v>999.31788669788511</v>
      </c>
      <c r="AJ28" s="12">
        <f t="shared" ca="1" si="16"/>
        <v>939.45137807550782</v>
      </c>
      <c r="AK28" s="12">
        <f t="shared" ca="1" si="16"/>
        <v>879.58486945311597</v>
      </c>
      <c r="AL28" s="12">
        <f t="shared" ca="1" si="16"/>
        <v>819.71836083072412</v>
      </c>
      <c r="AM28" s="12">
        <f t="shared" ca="1" si="16"/>
        <v>781.40507604954473</v>
      </c>
      <c r="AN28" s="12">
        <f t="shared" ca="1" si="16"/>
        <v>743.09179126836534</v>
      </c>
      <c r="AO28" s="12">
        <f t="shared" ca="1" si="16"/>
        <v>704.77850648718595</v>
      </c>
      <c r="AP28" s="12">
        <f t="shared" ca="1" si="16"/>
        <v>666.46522170600656</v>
      </c>
      <c r="AQ28" s="12">
        <f t="shared" ca="1" si="16"/>
        <v>628.15193692483444</v>
      </c>
      <c r="AR28" s="12">
        <f t="shared" ca="1" si="16"/>
        <v>600.83268136655533</v>
      </c>
      <c r="AS28" s="12">
        <f t="shared" ca="1" si="16"/>
        <v>573.51342580827622</v>
      </c>
      <c r="AT28" s="12">
        <f t="shared" ca="1" si="16"/>
        <v>546.19417025000439</v>
      </c>
      <c r="AU28" s="12">
        <f t="shared" ca="1" si="16"/>
        <v>518.87491469172528</v>
      </c>
      <c r="AV28" s="12">
        <f t="shared" ca="1" si="16"/>
        <v>491.55565913343889</v>
      </c>
      <c r="AW28" s="12">
        <f t="shared" ca="1" si="16"/>
        <v>466.91729456822941</v>
      </c>
      <c r="AX28" s="12">
        <f t="shared" ca="1" si="16"/>
        <v>442.27893000301265</v>
      </c>
      <c r="AY28" s="12">
        <f t="shared" ca="1" si="16"/>
        <v>417.64056543780316</v>
      </c>
      <c r="AZ28" s="12">
        <f t="shared" ca="1" si="16"/>
        <v>393.00220087259368</v>
      </c>
      <c r="BA28" s="12">
        <f t="shared" ca="1" si="16"/>
        <v>368.36383630738101</v>
      </c>
    </row>
    <row r="29" spans="2:53" ht="13" x14ac:dyDescent="0.35">
      <c r="B29" s="77"/>
      <c r="C29" s="30" t="s">
        <v>2</v>
      </c>
      <c r="D29" s="30" t="s">
        <v>22</v>
      </c>
      <c r="E29" s="24" t="s">
        <v>112</v>
      </c>
      <c r="F29" s="6" t="s">
        <v>7</v>
      </c>
      <c r="G29" s="30"/>
      <c r="H29" s="16" t="str">
        <f t="shared" si="12"/>
        <v>Scope 2 Emissions Residential buildings</v>
      </c>
      <c r="I29" s="30" t="e">
        <f>NA()</f>
        <v>#N/A</v>
      </c>
      <c r="J29" s="21">
        <f>J$24*(J$14/J$13)</f>
        <v>3111.9781459705318</v>
      </c>
      <c r="K29" s="21">
        <f t="shared" ref="K29:P29" si="17">K$24*(K$14/K$13)</f>
        <v>2408.0377268900816</v>
      </c>
      <c r="L29" s="21">
        <f t="shared" si="17"/>
        <v>1890.898542569968</v>
      </c>
      <c r="M29" s="21">
        <f t="shared" si="17"/>
        <v>1299.739953784574</v>
      </c>
      <c r="N29" s="21">
        <f t="shared" si="17"/>
        <v>729.10916680756043</v>
      </c>
      <c r="O29" s="21">
        <f t="shared" si="17"/>
        <v>222.54467378144898</v>
      </c>
      <c r="P29" s="21">
        <f t="shared" si="17"/>
        <v>-93.379300474796281</v>
      </c>
      <c r="Q29" s="29"/>
      <c r="R29" s="77"/>
      <c r="S29" s="12">
        <f t="shared" ca="1" si="2"/>
        <v>3111.9781459705264</v>
      </c>
      <c r="T29" s="12">
        <f t="shared" ca="1" si="16"/>
        <v>3033.7625438504911</v>
      </c>
      <c r="U29" s="12">
        <f t="shared" ca="1" si="16"/>
        <v>2955.5469417304266</v>
      </c>
      <c r="V29" s="12">
        <f t="shared" ca="1" si="16"/>
        <v>2877.3313396103913</v>
      </c>
      <c r="W29" s="12">
        <f t="shared" ca="1" si="16"/>
        <v>2799.1157374903269</v>
      </c>
      <c r="X29" s="12">
        <f t="shared" ca="1" si="16"/>
        <v>2720.9001353702915</v>
      </c>
      <c r="Y29" s="12">
        <f t="shared" ca="1" si="16"/>
        <v>2642.6845332502271</v>
      </c>
      <c r="Z29" s="12">
        <f t="shared" ca="1" si="16"/>
        <v>2564.4689311301918</v>
      </c>
      <c r="AA29" s="12">
        <f t="shared" ca="1" si="16"/>
        <v>2486.2533290101273</v>
      </c>
      <c r="AB29" s="12">
        <f t="shared" ca="1" si="16"/>
        <v>2408.037726890092</v>
      </c>
      <c r="AC29" s="12">
        <f t="shared" ca="1" si="16"/>
        <v>2304.6098900260695</v>
      </c>
      <c r="AD29" s="12">
        <f t="shared" ca="1" si="16"/>
        <v>2201.1820531620469</v>
      </c>
      <c r="AE29" s="12">
        <f t="shared" ca="1" si="16"/>
        <v>2097.7542162980244</v>
      </c>
      <c r="AF29" s="12">
        <f t="shared" ca="1" si="16"/>
        <v>1994.3263794340019</v>
      </c>
      <c r="AG29" s="12">
        <f t="shared" ca="1" si="16"/>
        <v>1890.8985425699502</v>
      </c>
      <c r="AH29" s="12">
        <f t="shared" ca="1" si="16"/>
        <v>1772.6668248128844</v>
      </c>
      <c r="AI29" s="12">
        <f t="shared" ca="1" si="16"/>
        <v>1654.4351070557896</v>
      </c>
      <c r="AJ29" s="12">
        <f t="shared" ca="1" si="16"/>
        <v>1536.2033892987238</v>
      </c>
      <c r="AK29" s="12">
        <f t="shared" ca="1" si="16"/>
        <v>1417.9716715416289</v>
      </c>
      <c r="AL29" s="12">
        <f t="shared" ca="1" si="16"/>
        <v>1299.7399537845631</v>
      </c>
      <c r="AM29" s="12">
        <f t="shared" ca="1" si="16"/>
        <v>1185.613796389167</v>
      </c>
      <c r="AN29" s="12">
        <f t="shared" ca="1" si="16"/>
        <v>1071.4876389937417</v>
      </c>
      <c r="AO29" s="12">
        <f t="shared" ca="1" si="16"/>
        <v>957.36148159834556</v>
      </c>
      <c r="AP29" s="12">
        <f t="shared" ca="1" si="16"/>
        <v>843.23532420294941</v>
      </c>
      <c r="AQ29" s="12">
        <f t="shared" ca="1" si="16"/>
        <v>729.10916680755327</v>
      </c>
      <c r="AR29" s="12">
        <f t="shared" ca="1" si="16"/>
        <v>627.79626820233534</v>
      </c>
      <c r="AS29" s="12">
        <f t="shared" ca="1" si="16"/>
        <v>526.48336959711742</v>
      </c>
      <c r="AT29" s="12">
        <f t="shared" ca="1" si="16"/>
        <v>425.17047099189949</v>
      </c>
      <c r="AU29" s="12">
        <f t="shared" ca="1" si="16"/>
        <v>323.85757238668157</v>
      </c>
      <c r="AV29" s="12">
        <f t="shared" ca="1" si="16"/>
        <v>222.54467378144909</v>
      </c>
      <c r="AW29" s="12">
        <f t="shared" ca="1" si="16"/>
        <v>159.35987893020501</v>
      </c>
      <c r="AX29" s="12">
        <f t="shared" ca="1" si="16"/>
        <v>96.175084078946384</v>
      </c>
      <c r="AY29" s="12">
        <f t="shared" ca="1" si="16"/>
        <v>32.990289227702306</v>
      </c>
      <c r="AZ29" s="12">
        <f t="shared" ca="1" si="16"/>
        <v>-30.194505623541772</v>
      </c>
      <c r="BA29" s="12">
        <f t="shared" ca="1" si="16"/>
        <v>-93.379300474796281</v>
      </c>
    </row>
    <row r="30" spans="2:53" ht="12.65" customHeight="1" x14ac:dyDescent="0.35">
      <c r="B30" s="76"/>
      <c r="C30" s="30" t="s">
        <v>15</v>
      </c>
      <c r="D30" s="30" t="s">
        <v>22</v>
      </c>
      <c r="E30" s="24" t="s">
        <v>112</v>
      </c>
      <c r="F30" s="6" t="s">
        <v>7</v>
      </c>
      <c r="G30" s="30"/>
      <c r="H30" s="16" t="str">
        <f t="shared" si="12"/>
        <v>Scope 1+2 Emissions Residential buildings</v>
      </c>
      <c r="I30" s="30" t="e">
        <f>NA()</f>
        <v>#N/A</v>
      </c>
      <c r="J30" s="19">
        <f>J$28+J$29</f>
        <v>4996.3724728114857</v>
      </c>
      <c r="K30" s="19">
        <f t="shared" ref="K30:P30" si="18">K$28+K$29</f>
        <v>3899.468306375843</v>
      </c>
      <c r="L30" s="19">
        <f t="shared" si="18"/>
        <v>3009.9494465126263</v>
      </c>
      <c r="M30" s="19">
        <f t="shared" si="18"/>
        <v>2119.4583146153041</v>
      </c>
      <c r="N30" s="19">
        <f t="shared" si="18"/>
        <v>1357.2611037323866</v>
      </c>
      <c r="O30" s="19">
        <f t="shared" si="18"/>
        <v>714.1003329148898</v>
      </c>
      <c r="P30" s="19">
        <f t="shared" si="18"/>
        <v>274.9845358325847</v>
      </c>
      <c r="Q30" s="29"/>
      <c r="R30" s="77"/>
      <c r="S30" s="12">
        <f t="shared" ca="1" si="2"/>
        <v>4996.3724728114903</v>
      </c>
      <c r="T30" s="12">
        <f t="shared" ca="1" si="16"/>
        <v>4874.4942320964183</v>
      </c>
      <c r="U30" s="12">
        <f t="shared" ca="1" si="16"/>
        <v>4752.6159913813462</v>
      </c>
      <c r="V30" s="12">
        <f t="shared" ca="1" si="16"/>
        <v>4630.7377506662742</v>
      </c>
      <c r="W30" s="12">
        <f t="shared" ca="1" si="16"/>
        <v>4508.8595099512022</v>
      </c>
      <c r="X30" s="12">
        <f t="shared" ca="1" si="16"/>
        <v>4386.9812692361302</v>
      </c>
      <c r="Y30" s="12">
        <f t="shared" ca="1" si="16"/>
        <v>4265.1030285210581</v>
      </c>
      <c r="Z30" s="12">
        <f t="shared" ca="1" si="16"/>
        <v>4143.2247878059861</v>
      </c>
      <c r="AA30" s="12">
        <f t="shared" ca="1" si="16"/>
        <v>4021.3465470909141</v>
      </c>
      <c r="AB30" s="12">
        <f t="shared" ca="1" si="16"/>
        <v>3899.4683063758421</v>
      </c>
      <c r="AC30" s="12">
        <f t="shared" ca="1" si="16"/>
        <v>3721.5645344032091</v>
      </c>
      <c r="AD30" s="12">
        <f t="shared" ca="1" si="16"/>
        <v>3543.6607624305761</v>
      </c>
      <c r="AE30" s="12">
        <f t="shared" ca="1" si="16"/>
        <v>3365.7569904579432</v>
      </c>
      <c r="AF30" s="12">
        <f t="shared" ca="1" si="16"/>
        <v>3187.853218485252</v>
      </c>
      <c r="AG30" s="12">
        <f t="shared" ca="1" si="16"/>
        <v>3009.949446512619</v>
      </c>
      <c r="AH30" s="12">
        <f t="shared" ca="1" si="16"/>
        <v>2831.8512201331905</v>
      </c>
      <c r="AI30" s="12">
        <f t="shared" ca="1" si="16"/>
        <v>2653.7529937537038</v>
      </c>
      <c r="AJ30" s="12">
        <f t="shared" ca="1" si="16"/>
        <v>2475.654767374217</v>
      </c>
      <c r="AK30" s="12">
        <f t="shared" ca="1" si="16"/>
        <v>2297.5565409947885</v>
      </c>
      <c r="AL30" s="12">
        <f t="shared" ca="1" si="16"/>
        <v>2119.4583146153018</v>
      </c>
      <c r="AM30" s="12">
        <f t="shared" ca="1" si="16"/>
        <v>1967.0188724387554</v>
      </c>
      <c r="AN30" s="12">
        <f t="shared" ca="1" si="16"/>
        <v>1814.5794302621507</v>
      </c>
      <c r="AO30" s="12">
        <f t="shared" ca="1" si="16"/>
        <v>1662.1399880855461</v>
      </c>
      <c r="AP30" s="12">
        <f t="shared" ca="1" si="16"/>
        <v>1509.7005459089996</v>
      </c>
      <c r="AQ30" s="12">
        <f t="shared" ca="1" si="16"/>
        <v>1357.2611037323368</v>
      </c>
      <c r="AR30" s="12">
        <f t="shared" ca="1" si="16"/>
        <v>1228.6289495688397</v>
      </c>
      <c r="AS30" s="12">
        <f t="shared" ca="1" si="16"/>
        <v>1099.9967954053427</v>
      </c>
      <c r="AT30" s="12">
        <f t="shared" ca="1" si="16"/>
        <v>971.36464124184567</v>
      </c>
      <c r="AU30" s="12">
        <f t="shared" ca="1" si="16"/>
        <v>842.73248707834864</v>
      </c>
      <c r="AV30" s="12">
        <f t="shared" ca="1" si="16"/>
        <v>714.10033291488071</v>
      </c>
      <c r="AW30" s="12">
        <f t="shared" ca="1" si="16"/>
        <v>626.2771734984417</v>
      </c>
      <c r="AX30" s="12">
        <f t="shared" ca="1" si="16"/>
        <v>538.45401408197358</v>
      </c>
      <c r="AY30" s="12">
        <f t="shared" ca="1" si="16"/>
        <v>450.63085466550547</v>
      </c>
      <c r="AZ30" s="12">
        <f t="shared" ca="1" si="16"/>
        <v>362.80769524903735</v>
      </c>
      <c r="BA30" s="12">
        <f t="shared" ca="1" si="16"/>
        <v>274.9845358325847</v>
      </c>
    </row>
    <row r="31" spans="2:53" ht="12.65" customHeight="1" x14ac:dyDescent="0.2">
      <c r="B31" s="77"/>
      <c r="C31" s="77"/>
      <c r="D31" s="90"/>
      <c r="E31" s="90"/>
      <c r="F31" s="91"/>
      <c r="G31" s="91"/>
      <c r="H31" s="91"/>
      <c r="I31" s="91"/>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row>
    <row r="32" spans="2:53" ht="12.65" customHeight="1" x14ac:dyDescent="0.2">
      <c r="B32" s="77"/>
      <c r="C32" s="77"/>
      <c r="D32" s="90"/>
      <c r="E32" s="90"/>
      <c r="F32" s="91"/>
      <c r="G32" s="92"/>
      <c r="H32" s="91"/>
      <c r="I32" s="91"/>
      <c r="J32" s="91"/>
      <c r="K32" s="91"/>
      <c r="L32" s="91"/>
      <c r="M32" s="91"/>
      <c r="N32" s="91"/>
      <c r="O32" s="91"/>
      <c r="P32" s="91"/>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row>
    <row r="33" spans="2:53" ht="12.65" customHeight="1" x14ac:dyDescent="0.2">
      <c r="B33" s="77"/>
      <c r="C33" s="77"/>
      <c r="D33" s="90"/>
      <c r="E33" s="90"/>
      <c r="F33" s="91"/>
      <c r="G33" s="91"/>
      <c r="H33" s="91"/>
      <c r="I33" s="91"/>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row>
    <row r="34" spans="2:53" ht="12.65" customHeight="1" x14ac:dyDescent="0.2">
      <c r="B34" s="91"/>
      <c r="C34" s="91"/>
      <c r="D34" s="90"/>
      <c r="E34" s="90"/>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row>
    <row r="35" spans="2:53" ht="12.65" customHeight="1" x14ac:dyDescent="0.2">
      <c r="B35" s="91"/>
      <c r="C35" s="91"/>
      <c r="D35" s="90"/>
      <c r="E35" s="90"/>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row>
    <row r="36" spans="2:53" ht="12.65" customHeight="1" x14ac:dyDescent="0.2">
      <c r="B36" s="91"/>
      <c r="C36" s="91"/>
      <c r="D36" s="90"/>
      <c r="E36" s="90"/>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row>
    <row r="37" spans="2:53" ht="12.65" customHeight="1" x14ac:dyDescent="0.2">
      <c r="B37" s="91"/>
      <c r="C37" s="91"/>
      <c r="D37" s="90"/>
      <c r="E37" s="90"/>
      <c r="F37" s="91"/>
      <c r="G37" s="91"/>
      <c r="H37" s="91"/>
      <c r="I37" s="91"/>
      <c r="J37" s="91"/>
      <c r="K37" s="94"/>
      <c r="L37" s="94"/>
      <c r="M37" s="94"/>
      <c r="N37" s="94"/>
      <c r="O37" s="94"/>
      <c r="P37" s="94"/>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row>
    <row r="38" spans="2:53" ht="12.65" customHeight="1" x14ac:dyDescent="0.2">
      <c r="B38" s="94"/>
      <c r="C38" s="94"/>
      <c r="D38" s="90"/>
      <c r="E38" s="90"/>
      <c r="F38" s="94"/>
      <c r="G38" s="94"/>
      <c r="H38" s="94"/>
      <c r="I38" s="94"/>
      <c r="J38" s="94"/>
      <c r="K38" s="94"/>
      <c r="L38" s="94"/>
      <c r="M38" s="94"/>
      <c r="N38" s="94"/>
      <c r="O38" s="94"/>
      <c r="P38" s="94"/>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row>
    <row r="39" spans="2:53" ht="12.65" customHeight="1" x14ac:dyDescent="0.2">
      <c r="B39" s="94"/>
      <c r="C39" s="94"/>
      <c r="D39" s="90"/>
      <c r="E39" s="90"/>
      <c r="F39" s="94"/>
      <c r="G39" s="94"/>
      <c r="H39" s="94"/>
      <c r="I39" s="94"/>
      <c r="J39" s="94"/>
      <c r="K39" s="94"/>
      <c r="L39" s="94"/>
      <c r="M39" s="94"/>
      <c r="N39" s="94"/>
      <c r="O39" s="94"/>
      <c r="P39" s="94"/>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row>
    <row r="40" spans="2:53" ht="12.65" customHeight="1" x14ac:dyDescent="0.2">
      <c r="B40" s="94"/>
      <c r="C40" s="94"/>
      <c r="D40" s="90"/>
      <c r="E40" s="90"/>
      <c r="F40" s="94"/>
      <c r="G40" s="94"/>
      <c r="H40" s="94"/>
      <c r="I40" s="94"/>
      <c r="J40" s="94"/>
      <c r="K40" s="94"/>
      <c r="L40" s="94"/>
      <c r="M40" s="94"/>
      <c r="N40" s="94"/>
      <c r="O40" s="94"/>
      <c r="P40" s="94"/>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row>
    <row r="41" spans="2:53" ht="12.65" customHeight="1" x14ac:dyDescent="0.2">
      <c r="B41" s="94"/>
      <c r="C41" s="94"/>
      <c r="D41" s="90"/>
      <c r="E41" s="94"/>
      <c r="F41" s="94"/>
      <c r="G41" s="94"/>
      <c r="H41" s="94"/>
      <c r="I41" s="94"/>
      <c r="J41" s="94"/>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row>
    <row r="42" spans="2:53" ht="12.65" customHeight="1" x14ac:dyDescent="0.2">
      <c r="B42" s="93"/>
      <c r="C42" s="93"/>
      <c r="D42" s="90"/>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row>
    <row r="43" spans="2:53" ht="12.65" customHeight="1" x14ac:dyDescent="0.2">
      <c r="B43" s="93"/>
      <c r="C43" s="93"/>
      <c r="D43" s="90"/>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row>
    <row r="44" spans="2:53" ht="12.65" customHeight="1" x14ac:dyDescent="0.2">
      <c r="B44" s="93"/>
      <c r="C44" s="93"/>
      <c r="D44" s="90"/>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row>
    <row r="45" spans="2:53" ht="12.65" customHeight="1" x14ac:dyDescent="0.2">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row>
    <row r="46" spans="2:53" ht="12.65" customHeight="1" x14ac:dyDescent="0.2">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row>
    <row r="47" spans="2:53" ht="12.65" customHeight="1" x14ac:dyDescent="0.2">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row>
    <row r="48" spans="2:53" ht="12.65" customHeight="1" x14ac:dyDescent="0.2">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row>
    <row r="49" spans="2:53" ht="12.65" customHeight="1" x14ac:dyDescent="0.2">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row>
    <row r="50" spans="2:53" ht="12.65" customHeight="1" x14ac:dyDescent="0.2">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row>
    <row r="51" spans="2:53" ht="12.65" customHeight="1" x14ac:dyDescent="0.2">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row>
    <row r="52" spans="2:53" ht="12.65" customHeight="1" x14ac:dyDescent="0.2">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row>
    <row r="53" spans="2:53" ht="12.65" customHeight="1" x14ac:dyDescent="0.2">
      <c r="B53" s="93"/>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row>
    <row r="54" spans="2:53" ht="12.65" customHeight="1" x14ac:dyDescent="0.2">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row>
    <row r="55" spans="2:53" ht="12.65" customHeight="1" x14ac:dyDescent="0.2">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row>
    <row r="56" spans="2:53" ht="12.65" customHeight="1" x14ac:dyDescent="0.2">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row>
    <row r="57" spans="2:53" ht="12.65" customHeight="1" x14ac:dyDescent="0.2">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row>
    <row r="58" spans="2:53" ht="12.65" customHeight="1" x14ac:dyDescent="0.2">
      <c r="B58" s="93"/>
      <c r="C58" s="93"/>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row>
    <row r="59" spans="2:53" ht="12.65" customHeight="1" x14ac:dyDescent="0.2">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row>
    <row r="60" spans="2:53" ht="12.65" customHeight="1" x14ac:dyDescent="0.2">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row>
    <row r="61" spans="2:53" ht="12.65" customHeight="1" x14ac:dyDescent="0.2">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row>
    <row r="62" spans="2:53" ht="12.65" customHeight="1" x14ac:dyDescent="0.2">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row>
    <row r="63" spans="2:53" ht="12.65" customHeight="1" x14ac:dyDescent="0.2">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row>
    <row r="64" spans="2:53" ht="12.65" customHeight="1" x14ac:dyDescent="0.2">
      <c r="B64" s="93"/>
      <c r="C64" s="93"/>
      <c r="D64" s="93"/>
      <c r="E64" s="93"/>
      <c r="F64" s="93"/>
      <c r="G64" s="93"/>
      <c r="H64" s="93"/>
      <c r="I64" s="93"/>
      <c r="J64" s="93"/>
      <c r="K64" s="95"/>
      <c r="L64" s="95"/>
      <c r="M64" s="95"/>
      <c r="N64" s="95"/>
      <c r="O64" s="95"/>
      <c r="P64" s="95"/>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row>
    <row r="65" spans="2:53" ht="12.65" customHeight="1" x14ac:dyDescent="0.2">
      <c r="B65" s="95"/>
      <c r="C65" s="95"/>
      <c r="D65" s="95"/>
      <c r="E65" s="95"/>
      <c r="F65" s="95"/>
      <c r="G65" s="95"/>
      <c r="H65" s="95"/>
      <c r="I65" s="95"/>
      <c r="J65" s="95"/>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row>
    <row r="66" spans="2:53" ht="12.65" customHeight="1" x14ac:dyDescent="0.2">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row>
    <row r="67" spans="2:53" ht="12.65" customHeight="1" x14ac:dyDescent="0.2">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row>
    <row r="68" spans="2:53" ht="12.65" customHeight="1" x14ac:dyDescent="0.2">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row>
    <row r="69" spans="2:53" ht="12.65" customHeight="1" x14ac:dyDescent="0.2">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row>
    <row r="70" spans="2:53" ht="12.65" customHeight="1" x14ac:dyDescent="0.2">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row>
    <row r="71" spans="2:53" ht="12.65" customHeight="1" x14ac:dyDescent="0.2">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row>
    <row r="72" spans="2:53" ht="12.65" customHeight="1" x14ac:dyDescent="0.2">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row>
    <row r="73" spans="2:53" ht="12.65" customHeight="1" x14ac:dyDescent="0.2">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row>
    <row r="74" spans="2:53" ht="12.65" customHeight="1" x14ac:dyDescent="0.2">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row>
    <row r="75" spans="2:53" ht="12.65" customHeight="1" x14ac:dyDescent="0.2">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row>
    <row r="76" spans="2:53" ht="12.65" customHeight="1" x14ac:dyDescent="0.2">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row>
    <row r="77" spans="2:53" ht="12.65" customHeight="1" x14ac:dyDescent="0.2">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row>
    <row r="78" spans="2:53" ht="12.65" customHeight="1" x14ac:dyDescent="0.25">
      <c r="B78" s="96"/>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row>
    <row r="79" spans="2:53" ht="12.65" customHeight="1" x14ac:dyDescent="0.2">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row>
    <row r="80" spans="2:53" ht="12.65" customHeight="1" x14ac:dyDescent="0.25">
      <c r="B80" s="7"/>
      <c r="C80" s="7"/>
      <c r="D80" s="97"/>
      <c r="E80" s="98"/>
      <c r="F80" s="97"/>
      <c r="G80" s="98"/>
      <c r="H80" s="9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row>
    <row r="81" spans="2:53" ht="12.65" customHeight="1" x14ac:dyDescent="0.2">
      <c r="B81" s="99"/>
      <c r="C81" s="7"/>
      <c r="D81" s="100"/>
      <c r="E81" s="7"/>
      <c r="F81" s="100"/>
      <c r="G81" s="7"/>
      <c r="H81" s="100"/>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row>
    <row r="82" spans="2:53" ht="12.65" customHeight="1" x14ac:dyDescent="0.2">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row>
    <row r="83" spans="2:53" ht="12.65" customHeight="1" x14ac:dyDescent="0.2">
      <c r="B83" s="99"/>
      <c r="C83" s="7"/>
      <c r="D83" s="100"/>
      <c r="E83" s="7"/>
      <c r="F83" s="100"/>
      <c r="G83" s="7"/>
      <c r="H83" s="100"/>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row>
    <row r="84" spans="2:53" ht="12.65" customHeight="1" x14ac:dyDescent="0.2">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row>
    <row r="85" spans="2:53" ht="12.65" customHeight="1" x14ac:dyDescent="0.2">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row>
    <row r="86" spans="2:53" ht="12.65" customHeight="1" x14ac:dyDescent="0.2">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row>
    <row r="87" spans="2:53" ht="12.65" customHeight="1" x14ac:dyDescent="0.2">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row>
    <row r="88" spans="2:53" ht="12.65" customHeight="1" x14ac:dyDescent="0.2">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row>
    <row r="89" spans="2:53" ht="12.65" customHeight="1" x14ac:dyDescent="0.2">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row>
    <row r="90" spans="2:53" ht="12.65" customHeight="1" x14ac:dyDescent="0.2">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row>
    <row r="91" spans="2:53" ht="12.65" customHeight="1" x14ac:dyDescent="0.2">
      <c r="B91" s="7"/>
      <c r="C91" s="7"/>
      <c r="D91" s="7"/>
      <c r="E91" s="7"/>
      <c r="F91" s="7"/>
      <c r="G91" s="7"/>
      <c r="H91" s="7"/>
      <c r="I91" s="7"/>
      <c r="J91" s="7"/>
      <c r="K91" s="101"/>
      <c r="L91" s="101"/>
      <c r="M91" s="101"/>
      <c r="N91" s="101"/>
      <c r="O91" s="101"/>
      <c r="P91" s="101"/>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row>
    <row r="92" spans="2:53" ht="12.65" customHeight="1" x14ac:dyDescent="0.2">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row>
    <row r="93" spans="2:53" ht="12.65" customHeight="1" x14ac:dyDescent="0.2">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row>
    <row r="94" spans="2:53" ht="12.65" customHeight="1" x14ac:dyDescent="0.2">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row>
    <row r="95" spans="2:53" ht="12.65" customHeight="1" x14ac:dyDescent="0.2">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row>
    <row r="96" spans="2:53" ht="12.65" customHeight="1" x14ac:dyDescent="0.2">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row>
    <row r="97" spans="2:53" ht="12.65" customHeight="1" x14ac:dyDescent="0.2">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row>
    <row r="98" spans="2:53" ht="12.65" customHeight="1" x14ac:dyDescent="0.2">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row>
    <row r="99" spans="2:53" ht="12.65" customHeight="1" x14ac:dyDescent="0.2">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row>
    <row r="100" spans="2:53" ht="12.65" customHeight="1" x14ac:dyDescent="0.2">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1"/>
      <c r="AY100" s="101"/>
      <c r="AZ100" s="101"/>
      <c r="BA100" s="101"/>
    </row>
    <row r="101" spans="2:53" ht="12.65" customHeight="1" x14ac:dyDescent="0.2">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row>
    <row r="102" spans="2:53" ht="12.65" customHeight="1" x14ac:dyDescent="0.2">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row>
    <row r="103" spans="2:53" ht="12.65" customHeight="1" x14ac:dyDescent="0.2">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01"/>
      <c r="BA103" s="101"/>
    </row>
    <row r="104" spans="2:53" ht="12.65" customHeight="1" x14ac:dyDescent="0.2">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row>
    <row r="105" spans="2:53" ht="12.65" customHeight="1" x14ac:dyDescent="0.2">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row>
    <row r="106" spans="2:53" ht="12.65" customHeight="1" x14ac:dyDescent="0.2">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row>
    <row r="107" spans="2:53" ht="12.65" customHeight="1" x14ac:dyDescent="0.2">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row>
    <row r="108" spans="2:53" ht="12.65" customHeight="1" x14ac:dyDescent="0.2">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01"/>
      <c r="BA108" s="101"/>
    </row>
    <row r="109" spans="2:53" ht="12.65" customHeight="1" x14ac:dyDescent="0.2">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row>
    <row r="110" spans="2:53" ht="12.65" customHeight="1" x14ac:dyDescent="0.2">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1"/>
      <c r="AZ110" s="101"/>
      <c r="BA110" s="101"/>
    </row>
    <row r="111" spans="2:53" ht="12.65" customHeight="1" x14ac:dyDescent="0.2">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1"/>
      <c r="AY111" s="101"/>
      <c r="AZ111" s="101"/>
      <c r="BA111" s="101"/>
    </row>
    <row r="112" spans="2:53" ht="12.65" customHeight="1" x14ac:dyDescent="0.2">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1"/>
      <c r="AY112" s="101"/>
      <c r="AZ112" s="101"/>
      <c r="BA112" s="101"/>
    </row>
    <row r="113" spans="2:53" ht="12.65" customHeight="1" x14ac:dyDescent="0.2">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101"/>
      <c r="AW113" s="101"/>
      <c r="AX113" s="101"/>
      <c r="AY113" s="101"/>
      <c r="AZ113" s="101"/>
      <c r="BA113" s="101"/>
    </row>
    <row r="114" spans="2:53" ht="12.65" customHeight="1" x14ac:dyDescent="0.2">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1"/>
      <c r="AY114" s="101"/>
      <c r="AZ114" s="101"/>
      <c r="BA114" s="101"/>
    </row>
    <row r="115" spans="2:53" ht="12.65" customHeight="1" x14ac:dyDescent="0.2">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101"/>
      <c r="AL115" s="101"/>
      <c r="AM115" s="101"/>
      <c r="AN115" s="101"/>
      <c r="AO115" s="101"/>
      <c r="AP115" s="101"/>
      <c r="AQ115" s="101"/>
      <c r="AR115" s="101"/>
      <c r="AS115" s="101"/>
      <c r="AT115" s="101"/>
      <c r="AU115" s="101"/>
      <c r="AV115" s="101"/>
      <c r="AW115" s="101"/>
      <c r="AX115" s="101"/>
      <c r="AY115" s="101"/>
      <c r="AZ115" s="101"/>
      <c r="BA115" s="101"/>
    </row>
    <row r="116" spans="2:53" ht="12.65" customHeight="1" x14ac:dyDescent="0.2">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c r="AK116" s="101"/>
      <c r="AL116" s="101"/>
      <c r="AM116" s="101"/>
      <c r="AN116" s="101"/>
      <c r="AO116" s="101"/>
      <c r="AP116" s="101"/>
      <c r="AQ116" s="101"/>
      <c r="AR116" s="101"/>
      <c r="AS116" s="101"/>
      <c r="AT116" s="101"/>
      <c r="AU116" s="101"/>
      <c r="AV116" s="101"/>
      <c r="AW116" s="101"/>
      <c r="AX116" s="101"/>
      <c r="AY116" s="101"/>
      <c r="AZ116" s="101"/>
      <c r="BA116" s="101"/>
    </row>
    <row r="117" spans="2:53" ht="12.65" customHeight="1" x14ac:dyDescent="0.2">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1"/>
      <c r="AS117" s="101"/>
      <c r="AT117" s="101"/>
      <c r="AU117" s="101"/>
      <c r="AV117" s="101"/>
      <c r="AW117" s="101"/>
      <c r="AX117" s="101"/>
      <c r="AY117" s="101"/>
      <c r="AZ117" s="101"/>
      <c r="BA117" s="101"/>
    </row>
    <row r="118" spans="2:53" ht="12.65" customHeight="1" x14ac:dyDescent="0.2">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c r="AL118" s="101"/>
      <c r="AM118" s="101"/>
      <c r="AN118" s="101"/>
      <c r="AO118" s="101"/>
      <c r="AP118" s="101"/>
      <c r="AQ118" s="101"/>
      <c r="AR118" s="101"/>
      <c r="AS118" s="101"/>
      <c r="AT118" s="101"/>
      <c r="AU118" s="101"/>
      <c r="AV118" s="101"/>
      <c r="AW118" s="101"/>
      <c r="AX118" s="101"/>
      <c r="AY118" s="101"/>
      <c r="AZ118" s="101"/>
      <c r="BA118" s="101"/>
    </row>
    <row r="119" spans="2:53" ht="10.25" customHeight="1" x14ac:dyDescent="0.2">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c r="AT119" s="101"/>
      <c r="AU119" s="101"/>
      <c r="AV119" s="101"/>
      <c r="AW119" s="101"/>
      <c r="AX119" s="101"/>
      <c r="AY119" s="101"/>
      <c r="AZ119" s="101"/>
      <c r="BA119" s="101"/>
    </row>
    <row r="120" spans="2:53" ht="10.25" customHeight="1" x14ac:dyDescent="0.2">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1"/>
      <c r="AS120" s="101"/>
      <c r="AT120" s="101"/>
      <c r="AU120" s="101"/>
      <c r="AV120" s="101"/>
      <c r="AW120" s="101"/>
      <c r="AX120" s="101"/>
      <c r="AY120" s="101"/>
      <c r="AZ120" s="101"/>
      <c r="BA120" s="101"/>
    </row>
    <row r="121" spans="2:53" ht="10.25" customHeight="1" x14ac:dyDescent="0.2">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01"/>
      <c r="AM121" s="101"/>
      <c r="AN121" s="101"/>
      <c r="AO121" s="101"/>
      <c r="AP121" s="101"/>
      <c r="AQ121" s="101"/>
      <c r="AR121" s="101"/>
      <c r="AS121" s="101"/>
      <c r="AT121" s="101"/>
      <c r="AU121" s="101"/>
      <c r="AV121" s="101"/>
      <c r="AW121" s="101"/>
      <c r="AX121" s="101"/>
      <c r="AY121" s="101"/>
      <c r="AZ121" s="101"/>
      <c r="BA121" s="101"/>
    </row>
    <row r="122" spans="2:53" ht="10.25" customHeight="1" x14ac:dyDescent="0.2">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c r="AO122" s="101"/>
      <c r="AP122" s="101"/>
      <c r="AQ122" s="101"/>
      <c r="AR122" s="101"/>
      <c r="AS122" s="101"/>
      <c r="AT122" s="101"/>
      <c r="AU122" s="101"/>
      <c r="AV122" s="101"/>
      <c r="AW122" s="101"/>
      <c r="AX122" s="101"/>
      <c r="AY122" s="101"/>
      <c r="AZ122" s="101"/>
      <c r="BA122" s="101"/>
    </row>
    <row r="123" spans="2:53" ht="10.25" customHeight="1" x14ac:dyDescent="0.2">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c r="AU123" s="101"/>
      <c r="AV123" s="101"/>
      <c r="AW123" s="101"/>
      <c r="AX123" s="101"/>
      <c r="AY123" s="101"/>
      <c r="AZ123" s="101"/>
      <c r="BA123" s="101"/>
    </row>
    <row r="124" spans="2:53" ht="10.25" customHeight="1" x14ac:dyDescent="0.2">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c r="AU124" s="101"/>
      <c r="AV124" s="101"/>
      <c r="AW124" s="101"/>
      <c r="AX124" s="101"/>
      <c r="AY124" s="101"/>
      <c r="AZ124" s="101"/>
      <c r="BA124" s="101"/>
    </row>
    <row r="125" spans="2:53" x14ac:dyDescent="0.2">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1"/>
      <c r="AY125" s="101"/>
      <c r="AZ125" s="101"/>
      <c r="BA125" s="101"/>
    </row>
    <row r="126" spans="2:53" x14ac:dyDescent="0.2">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1"/>
      <c r="AY126" s="101"/>
      <c r="AZ126" s="101"/>
      <c r="BA126" s="101"/>
    </row>
    <row r="127" spans="2:53" x14ac:dyDescent="0.2">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row>
    <row r="128" spans="2:53" x14ac:dyDescent="0.2">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row>
    <row r="129" spans="2:53" x14ac:dyDescent="0.2">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1"/>
      <c r="AV129" s="101"/>
      <c r="AW129" s="101"/>
      <c r="AX129" s="101"/>
      <c r="AY129" s="101"/>
      <c r="AZ129" s="101"/>
      <c r="BA129" s="101"/>
    </row>
    <row r="130" spans="2:53" x14ac:dyDescent="0.2">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01"/>
      <c r="BA130" s="101"/>
    </row>
    <row r="131" spans="2:53" x14ac:dyDescent="0.2">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1"/>
      <c r="AY131" s="101"/>
      <c r="AZ131" s="101"/>
      <c r="BA131" s="101"/>
    </row>
    <row r="132" spans="2:53" x14ac:dyDescent="0.2">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c r="AU132" s="101"/>
      <c r="AV132" s="101"/>
      <c r="AW132" s="101"/>
      <c r="AX132" s="101"/>
      <c r="AY132" s="101"/>
      <c r="AZ132" s="101"/>
      <c r="BA132" s="101"/>
    </row>
    <row r="133" spans="2:53" x14ac:dyDescent="0.2">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1"/>
      <c r="AY133" s="101"/>
      <c r="AZ133" s="101"/>
      <c r="BA133" s="101"/>
    </row>
    <row r="134" spans="2:53" x14ac:dyDescent="0.2">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1"/>
    </row>
    <row r="135" spans="2:53" x14ac:dyDescent="0.2">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row>
    <row r="136" spans="2:53" x14ac:dyDescent="0.2">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row>
    <row r="137" spans="2:53" x14ac:dyDescent="0.2">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row>
    <row r="138" spans="2:53" x14ac:dyDescent="0.2">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c r="AL138" s="101"/>
      <c r="AM138" s="101"/>
      <c r="AN138" s="101"/>
      <c r="AO138" s="101"/>
      <c r="AP138" s="101"/>
      <c r="AQ138" s="101"/>
      <c r="AR138" s="101"/>
      <c r="AS138" s="101"/>
      <c r="AT138" s="101"/>
      <c r="AU138" s="101"/>
      <c r="AV138" s="101"/>
      <c r="AW138" s="101"/>
      <c r="AX138" s="101"/>
      <c r="AY138" s="101"/>
      <c r="AZ138" s="101"/>
      <c r="BA138" s="101"/>
    </row>
    <row r="139" spans="2:53" x14ac:dyDescent="0.2">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1"/>
      <c r="AL139" s="101"/>
      <c r="AM139" s="101"/>
      <c r="AN139" s="101"/>
      <c r="AO139" s="101"/>
      <c r="AP139" s="101"/>
      <c r="AQ139" s="101"/>
      <c r="AR139" s="101"/>
      <c r="AS139" s="101"/>
      <c r="AT139" s="101"/>
      <c r="AU139" s="101"/>
      <c r="AV139" s="101"/>
      <c r="AW139" s="101"/>
      <c r="AX139" s="101"/>
      <c r="AY139" s="101"/>
      <c r="AZ139" s="101"/>
      <c r="BA139" s="101"/>
    </row>
    <row r="140" spans="2:53" x14ac:dyDescent="0.2">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c r="AJ140" s="101"/>
      <c r="AK140" s="101"/>
      <c r="AL140" s="101"/>
      <c r="AM140" s="101"/>
      <c r="AN140" s="101"/>
      <c r="AO140" s="101"/>
      <c r="AP140" s="101"/>
      <c r="AQ140" s="101"/>
      <c r="AR140" s="101"/>
      <c r="AS140" s="101"/>
      <c r="AT140" s="101"/>
      <c r="AU140" s="101"/>
      <c r="AV140" s="101"/>
      <c r="AW140" s="101"/>
      <c r="AX140" s="101"/>
      <c r="AY140" s="101"/>
      <c r="AZ140" s="101"/>
      <c r="BA140" s="101"/>
    </row>
    <row r="141" spans="2:53" x14ac:dyDescent="0.2">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c r="AJ141" s="101"/>
      <c r="AK141" s="101"/>
      <c r="AL141" s="101"/>
      <c r="AM141" s="101"/>
      <c r="AN141" s="101"/>
      <c r="AO141" s="101"/>
      <c r="AP141" s="101"/>
      <c r="AQ141" s="101"/>
      <c r="AR141" s="101"/>
      <c r="AS141" s="101"/>
      <c r="AT141" s="101"/>
      <c r="AU141" s="101"/>
      <c r="AV141" s="101"/>
      <c r="AW141" s="101"/>
      <c r="AX141" s="101"/>
      <c r="AY141" s="101"/>
      <c r="AZ141" s="101"/>
      <c r="BA141" s="101"/>
    </row>
    <row r="142" spans="2:53" x14ac:dyDescent="0.2">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c r="AJ142" s="101"/>
      <c r="AK142" s="101"/>
      <c r="AL142" s="101"/>
      <c r="AM142" s="101"/>
      <c r="AN142" s="101"/>
      <c r="AO142" s="101"/>
      <c r="AP142" s="101"/>
      <c r="AQ142" s="101"/>
      <c r="AR142" s="101"/>
      <c r="AS142" s="101"/>
      <c r="AT142" s="101"/>
      <c r="AU142" s="101"/>
      <c r="AV142" s="101"/>
      <c r="AW142" s="101"/>
      <c r="AX142" s="101"/>
      <c r="AY142" s="101"/>
      <c r="AZ142" s="101"/>
      <c r="BA142" s="101"/>
    </row>
    <row r="143" spans="2:53" x14ac:dyDescent="0.2">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1"/>
      <c r="AV143" s="101"/>
      <c r="AW143" s="101"/>
      <c r="AX143" s="101"/>
      <c r="AY143" s="101"/>
      <c r="AZ143" s="101"/>
      <c r="BA143" s="101"/>
    </row>
    <row r="144" spans="2:53" x14ac:dyDescent="0.2">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c r="AJ144" s="101"/>
      <c r="AK144" s="101"/>
      <c r="AL144" s="101"/>
      <c r="AM144" s="101"/>
      <c r="AN144" s="101"/>
      <c r="AO144" s="101"/>
      <c r="AP144" s="101"/>
      <c r="AQ144" s="101"/>
      <c r="AR144" s="101"/>
      <c r="AS144" s="101"/>
      <c r="AT144" s="101"/>
      <c r="AU144" s="101"/>
      <c r="AV144" s="101"/>
      <c r="AW144" s="101"/>
      <c r="AX144" s="101"/>
      <c r="AY144" s="101"/>
      <c r="AZ144" s="101"/>
      <c r="BA144" s="101"/>
    </row>
    <row r="145" spans="2:53" x14ac:dyDescent="0.2">
      <c r="B145" s="101"/>
      <c r="C145" s="101"/>
      <c r="D145" s="101"/>
      <c r="E145" s="101"/>
      <c r="F145" s="101"/>
      <c r="G145" s="101"/>
      <c r="H145" s="101"/>
      <c r="I145" s="101"/>
      <c r="J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1"/>
      <c r="AY145" s="101"/>
      <c r="AZ145" s="101"/>
      <c r="BA145" s="101"/>
    </row>
  </sheetData>
  <sheetProtection algorithmName="SHA-512" hashValue="TmIZWnLMeuEp3xCPTsPKheA+DG0mr6PAXlNBsxkj10727YlnwsJVE8VDNTEyu29zEaz/NYw/vtpHyD8SJk5l8A==" saltValue="FXduHBC1QL5Bpp9MCHhxMw==" spinCount="100000" sheet="1" objects="1" scenarios="1"/>
  <mergeCells count="1">
    <mergeCell ref="H3:M3"/>
  </mergeCells>
  <hyperlinks>
    <hyperlink ref="J6" r:id="rId1" xr:uid="{D6234C57-BAF3-4A54-876E-061184937B75}"/>
  </hyperlinks>
  <pageMargins left="0.7" right="0.7" top="0.75" bottom="0.75" header="0.3" footer="0.3"/>
  <pageSetup paperSize="9" orientation="portrait" verticalDpi="0" r:id="rId2"/>
  <ignoredErrors>
    <ignoredError sqref="H14" formula="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B0DA7-42EE-4845-A39D-3C7B57DCFDA8}">
  <sheetPr>
    <tabColor theme="0" tint="-0.499984740745262"/>
  </sheetPr>
  <dimension ref="B2:BA137"/>
  <sheetViews>
    <sheetView showGridLines="0" zoomScaleNormal="100" workbookViewId="0"/>
  </sheetViews>
  <sheetFormatPr defaultColWidth="14.6640625" defaultRowHeight="10" x14ac:dyDescent="0.2"/>
  <cols>
    <col min="1" max="1" width="4.44140625" style="32" customWidth="1"/>
    <col min="2" max="2" width="4.6640625" style="32" customWidth="1"/>
    <col min="3" max="3" width="33.6640625" style="32" bestFit="1" customWidth="1"/>
    <col min="4" max="4" width="28.109375" style="32" customWidth="1"/>
    <col min="5" max="5" width="17.109375" style="32" bestFit="1" customWidth="1"/>
    <col min="6" max="6" width="68.6640625" style="32" customWidth="1"/>
    <col min="7" max="7" width="12.44140625" style="32" customWidth="1"/>
    <col min="8" max="8" width="15.109375" style="32" bestFit="1" customWidth="1"/>
    <col min="9" max="9" width="14.6640625" style="32" customWidth="1"/>
    <col min="10" max="10" width="16.109375" style="32" customWidth="1"/>
    <col min="11" max="12" width="19" style="32" bestFit="1" customWidth="1"/>
    <col min="13" max="13" width="16.44140625" style="32" customWidth="1"/>
    <col min="14" max="14" width="17.6640625" style="32" customWidth="1"/>
    <col min="15" max="15" width="18.33203125" style="32" customWidth="1"/>
    <col min="16" max="16" width="14.6640625" style="32"/>
    <col min="17" max="17" width="14.6640625" style="32" customWidth="1"/>
    <col min="18" max="16384" width="14.6640625" style="32"/>
  </cols>
  <sheetData>
    <row r="2" spans="2:44" s="101" customFormat="1" x14ac:dyDescent="0.2"/>
    <row r="3" spans="2:44" ht="59" customHeight="1" x14ac:dyDescent="0.2">
      <c r="F3" s="201" t="s">
        <v>106</v>
      </c>
      <c r="G3" s="201"/>
      <c r="H3" s="201"/>
      <c r="J3" s="124"/>
      <c r="K3" s="124"/>
      <c r="L3" s="124"/>
      <c r="M3" s="124"/>
      <c r="N3" s="124"/>
      <c r="O3" s="124"/>
      <c r="P3" s="124"/>
      <c r="Q3" s="52"/>
      <c r="R3" s="52"/>
      <c r="S3" s="52"/>
      <c r="T3" s="52"/>
    </row>
    <row r="5" spans="2:44" ht="13" x14ac:dyDescent="0.2">
      <c r="F5" s="33" t="s">
        <v>35</v>
      </c>
      <c r="G5" s="34"/>
      <c r="H5" s="34" t="str">
        <f>README!H5</f>
        <v>Version 1.2</v>
      </c>
    </row>
    <row r="6" spans="2:44" ht="13" x14ac:dyDescent="0.2">
      <c r="F6" s="33" t="s">
        <v>36</v>
      </c>
      <c r="G6" s="35"/>
      <c r="H6" s="31" t="s">
        <v>39</v>
      </c>
    </row>
    <row r="7" spans="2:44" ht="39" customHeight="1" x14ac:dyDescent="0.35">
      <c r="B7" s="53"/>
      <c r="C7" s="53"/>
      <c r="D7" s="53"/>
      <c r="E7" s="53"/>
      <c r="F7" s="170" t="s">
        <v>158</v>
      </c>
      <c r="G7" s="53"/>
      <c r="H7" s="53"/>
      <c r="I7" s="53"/>
      <c r="J7" s="53"/>
      <c r="K7" s="53"/>
      <c r="L7" s="53"/>
      <c r="M7" s="53"/>
      <c r="N7" s="53"/>
      <c r="O7" s="53"/>
      <c r="P7" s="53"/>
    </row>
    <row r="8" spans="2:44" ht="25" x14ac:dyDescent="0.2">
      <c r="B8" s="70" t="s">
        <v>12</v>
      </c>
      <c r="C8" s="71"/>
      <c r="D8" s="71"/>
      <c r="E8" s="71"/>
      <c r="F8" s="71"/>
      <c r="G8" s="71"/>
      <c r="H8" s="71"/>
      <c r="I8" s="71"/>
      <c r="J8" s="71"/>
      <c r="K8" s="71"/>
      <c r="L8" s="71"/>
      <c r="M8" s="71"/>
      <c r="N8" s="71"/>
      <c r="O8" s="71"/>
      <c r="P8" s="71"/>
      <c r="Q8" s="71"/>
      <c r="R8" s="71"/>
    </row>
    <row r="9" spans="2:44" ht="10.25" customHeight="1" x14ac:dyDescent="0.2">
      <c r="B9" s="89"/>
      <c r="C9" s="89"/>
      <c r="D9" s="89"/>
      <c r="E9" s="89"/>
      <c r="F9" s="89"/>
      <c r="G9" s="89"/>
      <c r="H9" s="89"/>
      <c r="I9" s="89"/>
      <c r="J9" s="89"/>
      <c r="K9" s="89"/>
      <c r="L9" s="89"/>
      <c r="M9" s="89"/>
      <c r="N9" s="89"/>
      <c r="O9" s="89"/>
      <c r="P9" s="89"/>
      <c r="Q9" s="89"/>
      <c r="R9" s="89"/>
    </row>
    <row r="10" spans="2:44" s="34" customFormat="1" ht="10.25" customHeight="1" x14ac:dyDescent="0.2">
      <c r="B10" s="77"/>
      <c r="C10" s="79"/>
      <c r="D10" s="90"/>
      <c r="E10" s="90"/>
      <c r="F10" s="91"/>
      <c r="G10" s="109" t="s">
        <v>100</v>
      </c>
      <c r="H10" s="109" t="s">
        <v>101</v>
      </c>
      <c r="I10" s="91"/>
      <c r="J10" s="77"/>
    </row>
    <row r="11" spans="2:44" s="112" customFormat="1" ht="17" customHeight="1" x14ac:dyDescent="0.2">
      <c r="B11" s="110"/>
      <c r="C11" s="111" t="s">
        <v>13</v>
      </c>
      <c r="D11" s="111" t="s">
        <v>109</v>
      </c>
      <c r="E11" s="111" t="s">
        <v>16</v>
      </c>
      <c r="F11" s="111" t="s">
        <v>21</v>
      </c>
      <c r="G11" s="111" t="s">
        <v>14</v>
      </c>
      <c r="H11" s="111" t="s">
        <v>34</v>
      </c>
      <c r="I11" s="110"/>
      <c r="J11" s="111" t="s">
        <v>148</v>
      </c>
      <c r="K11" s="111" t="s">
        <v>14</v>
      </c>
      <c r="M11" s="222" t="s">
        <v>146</v>
      </c>
      <c r="N11" s="222"/>
      <c r="O11" s="222"/>
      <c r="P11" s="222"/>
      <c r="Q11" s="222"/>
      <c r="R11" s="222"/>
    </row>
    <row r="12" spans="2:44" s="34" customFormat="1" ht="15" customHeight="1" x14ac:dyDescent="0.2">
      <c r="B12" s="80"/>
      <c r="C12" s="30" t="s">
        <v>141</v>
      </c>
      <c r="D12" s="30" t="str">
        <f t="shared" ref="D12:D23" si="0">Input_asset_class_subsector</f>
        <v>Residential buildings</v>
      </c>
      <c r="E12" s="30" t="str">
        <f>"Base year "&amp;input_base_year</f>
        <v>Base year 2017</v>
      </c>
      <c r="F12" s="1" t="str">
        <f>C12&amp;" "&amp;D12&amp;" "&amp;E12</f>
        <v>FI activities Residential buildings Base year 2017</v>
      </c>
      <c r="G12" s="108">
        <f>input_base_year_activities</f>
        <v>2400000</v>
      </c>
      <c r="H12" s="4" t="s">
        <v>11</v>
      </c>
      <c r="I12" s="77"/>
      <c r="J12" s="165" t="s">
        <v>149</v>
      </c>
      <c r="K12" s="161">
        <f ca="1">G20-cst_SI_2050</f>
        <v>116.18936298242886</v>
      </c>
      <c r="M12" s="222"/>
      <c r="N12" s="222"/>
      <c r="O12" s="222"/>
      <c r="P12" s="222"/>
      <c r="Q12" s="222"/>
      <c r="R12" s="222"/>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row>
    <row r="13" spans="2:44" s="34" customFormat="1" ht="14" customHeight="1" x14ac:dyDescent="0.2">
      <c r="B13" s="85"/>
      <c r="C13" s="6" t="s">
        <v>141</v>
      </c>
      <c r="D13" s="30" t="str">
        <f t="shared" si="0"/>
        <v>Residential buildings</v>
      </c>
      <c r="E13" s="30" t="str">
        <f>"Target year "&amp;input_target_year</f>
        <v>Target year 2030</v>
      </c>
      <c r="F13" s="1" t="str">
        <f>C13&amp;" "&amp;D13&amp;" "&amp;E13</f>
        <v>FI activities Residential buildings Target year 2030</v>
      </c>
      <c r="G13" s="27">
        <f ca="1">IF(OR(input_projected_output_measure="Fixed market share",AND(input_projected_output_measure="Target year output",(input_target_year_output-input_base_year_activities)/input_base_year_activities*100&lt;=$G$19)),
$G$12*((1+($G$18/100))^(input_target_year-input_base_year)),
IF(AND(input_projected_output_measure="Target year output",(input_target_year_output-input_base_year_activities)/input_base_year_activities*100&gt;$G$19),input_target_year_output,NA()))</f>
        <v>3182598.5718877949</v>
      </c>
      <c r="H13" s="4" t="s">
        <v>11</v>
      </c>
      <c r="I13" s="77"/>
      <c r="J13" s="165" t="s">
        <v>150</v>
      </c>
      <c r="K13" s="163">
        <f ca="1">($G$23-cst_SI_2050)/($G$22-cst_SI_2050)</f>
        <v>0.44422064645203324</v>
      </c>
      <c r="M13" s="135" t="s">
        <v>96</v>
      </c>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row>
    <row r="14" spans="2:44" ht="12" customHeight="1" x14ac:dyDescent="0.2">
      <c r="B14" s="84"/>
      <c r="C14" s="30" t="s">
        <v>142</v>
      </c>
      <c r="D14" s="30" t="str">
        <f t="shared" si="0"/>
        <v>Residential buildings</v>
      </c>
      <c r="E14" s="30" t="str">
        <f>IF(OR(input_base_year="",input_target_year=""),"","from "&amp;input_base_year&amp;" to "&amp;input_target_year)</f>
        <v>from 2017 to 2030</v>
      </c>
      <c r="F14" s="1" t="str">
        <f>C14&amp;" "&amp;D14&amp;" "&amp;E14</f>
        <v>FI activities annual growth rate Residential buildings from 2017 to 2030</v>
      </c>
      <c r="G14" s="26">
        <f ca="1">IF(OR(input_base_year="",input_target_year=""),NA(),100*((G13/G12)^(1/(input_target_year-input_base_year))-1))</f>
        <v>2.194732068184746</v>
      </c>
      <c r="H14" s="5" t="s">
        <v>99</v>
      </c>
      <c r="I14" s="77"/>
      <c r="J14" s="165" t="s">
        <v>151</v>
      </c>
      <c r="K14" s="164">
        <f ca="1">($G$12/$G$16)/($G$13/$G$17)</f>
        <v>0.999999999999999</v>
      </c>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row>
    <row r="15" spans="2:44" ht="12" x14ac:dyDescent="0.2">
      <c r="B15" s="84"/>
      <c r="C15" s="30" t="s">
        <v>143</v>
      </c>
      <c r="D15" s="30" t="str">
        <f t="shared" si="0"/>
        <v>Residential buildings</v>
      </c>
      <c r="E15" s="30" t="str">
        <f>IF(OR(input_base_year="",input_target_year=""),"","from "&amp;input_base_year&amp;" to "&amp;input_target_year)</f>
        <v>from 2017 to 2030</v>
      </c>
      <c r="F15" s="1" t="str">
        <f>C15&amp;" "&amp;D15&amp;" "&amp;E15</f>
        <v>FI activities total growth Residential buildings from 2017 to 2030</v>
      </c>
      <c r="G15" s="26">
        <f ca="1">IF(OR(input_base_year="",input_target_year=""),NA(),($G$13-$G$12)/$G$12*100)</f>
        <v>32.60827382865812</v>
      </c>
      <c r="H15" s="5" t="s">
        <v>99</v>
      </c>
      <c r="I15" s="77"/>
      <c r="M15" s="77"/>
      <c r="N15" s="77"/>
      <c r="O15" s="77"/>
      <c r="P15" s="77"/>
      <c r="Q15" s="136" t="s">
        <v>116</v>
      </c>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row>
    <row r="16" spans="2:44" ht="12.65" customHeight="1" x14ac:dyDescent="0.2">
      <c r="B16" s="84"/>
      <c r="C16" s="30" t="s">
        <v>97</v>
      </c>
      <c r="D16" s="30" t="str">
        <f t="shared" si="0"/>
        <v>Residential buildings</v>
      </c>
      <c r="E16" s="30" t="str">
        <f>"Base year "&amp;input_base_year</f>
        <v>Base year 2017</v>
      </c>
      <c r="F16" s="1" t="str">
        <f t="shared" ref="F16:F19" si="1">C16&amp;" "&amp;D16&amp;" "&amp;E16</f>
        <v>Sector activities Residential buildings Base year 2017</v>
      </c>
      <c r="G16" s="26">
        <f ca="1">INDEX(Tbl_IEA,MATCH("Activity "&amp;$D16,Tbl_IEA_RowId,0),MATCH(input_base_year,Tbl_IEA_ColYear,0))</f>
        <v>193861.85095540993</v>
      </c>
      <c r="H16" s="25" t="s">
        <v>11</v>
      </c>
      <c r="I16" s="77"/>
      <c r="M16" s="77"/>
      <c r="N16" s="77"/>
      <c r="O16" s="77"/>
      <c r="P16" s="77"/>
      <c r="Q16" s="136" t="s">
        <v>117</v>
      </c>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row>
    <row r="17" spans="2:52" ht="12.65" customHeight="1" x14ac:dyDescent="0.2">
      <c r="B17" s="84"/>
      <c r="C17" s="30" t="s">
        <v>97</v>
      </c>
      <c r="D17" s="30" t="str">
        <f t="shared" si="0"/>
        <v>Residential buildings</v>
      </c>
      <c r="E17" s="30" t="str">
        <f>"Target year "&amp;input_target_year</f>
        <v>Target year 2030</v>
      </c>
      <c r="F17" s="1" t="str">
        <f t="shared" si="1"/>
        <v>Sector activities Residential buildings Target year 2030</v>
      </c>
      <c r="G17" s="26">
        <f ca="1">INDEX(Tbl_IEA,MATCH("Activity "&amp;$D17,Tbl_IEA_RowId,0),MATCH(input_target_year,Tbl_IEA_ColYear,0))</f>
        <v>257076.85416425485</v>
      </c>
      <c r="H17" s="4" t="s">
        <v>11</v>
      </c>
      <c r="I17" s="77"/>
      <c r="M17" s="77"/>
      <c r="N17" s="77"/>
      <c r="O17" s="77"/>
      <c r="P17" s="77"/>
      <c r="Q17" s="136" t="s">
        <v>118</v>
      </c>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row>
    <row r="18" spans="2:52" ht="12.65" customHeight="1" x14ac:dyDescent="0.2">
      <c r="B18" s="84"/>
      <c r="C18" s="30" t="s">
        <v>102</v>
      </c>
      <c r="D18" s="30" t="str">
        <f t="shared" si="0"/>
        <v>Residential buildings</v>
      </c>
      <c r="E18" s="30" t="str">
        <f>IF(OR(input_base_year="",input_target_year=""),"","from "&amp;input_base_year&amp;" to "&amp;input_target_year)</f>
        <v>from 2017 to 2030</v>
      </c>
      <c r="F18" s="1" t="str">
        <f t="shared" si="1"/>
        <v>Sector activities annual growth rate Residential buildings from 2017 to 2030</v>
      </c>
      <c r="G18" s="26">
        <f ca="1">IF(OR(input_base_year="",input_target_year=""),NA(),100*((G17/G16)^(1/(input_target_year-input_base_year))-1))</f>
        <v>2.194732068184746</v>
      </c>
      <c r="H18" s="4" t="s">
        <v>99</v>
      </c>
      <c r="I18" s="77"/>
      <c r="M18" s="77"/>
      <c r="N18" s="77"/>
      <c r="O18" s="77"/>
      <c r="P18" s="77"/>
      <c r="Q18" s="136" t="s">
        <v>119</v>
      </c>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row>
    <row r="19" spans="2:52" ht="12.65" customHeight="1" x14ac:dyDescent="0.2">
      <c r="B19" s="84"/>
      <c r="C19" s="30" t="s">
        <v>110</v>
      </c>
      <c r="D19" s="30" t="str">
        <f t="shared" si="0"/>
        <v>Residential buildings</v>
      </c>
      <c r="E19" s="30" t="str">
        <f>IF(OR(input_base_year="",input_target_year=""),"","from "&amp;input_base_year&amp;" to "&amp;input_target_year)</f>
        <v>from 2017 to 2030</v>
      </c>
      <c r="F19" s="1" t="str">
        <f t="shared" si="1"/>
        <v>Sector activities total growth Residential buildings from 2017 to 2030</v>
      </c>
      <c r="G19" s="26">
        <f ca="1">IF(OR(input_base_year="",input_target_year=""),NA(),(G17-G16)/G16*100)</f>
        <v>32.608273828658</v>
      </c>
      <c r="H19" s="4" t="s">
        <v>99</v>
      </c>
      <c r="I19" s="77"/>
      <c r="M19" s="77"/>
      <c r="N19" s="77"/>
      <c r="O19" s="77"/>
      <c r="P19" s="77"/>
      <c r="Q19" s="136" t="s">
        <v>120</v>
      </c>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row>
    <row r="20" spans="2:52" ht="12.65" customHeight="1" x14ac:dyDescent="0.35">
      <c r="B20" s="84"/>
      <c r="C20" s="6" t="s">
        <v>144</v>
      </c>
      <c r="D20" s="30" t="str">
        <f t="shared" si="0"/>
        <v>Residential buildings</v>
      </c>
      <c r="E20" s="30" t="str">
        <f>"Base year "&amp;input_base_year</f>
        <v>Base year 2017</v>
      </c>
      <c r="F20" s="1" t="str">
        <f>C20&amp;" "&amp;D20&amp;" in "&amp;E20</f>
        <v>FI carbon intensity Residential buildings in Base year 2017</v>
      </c>
      <c r="G20" s="13">
        <f>IF(input_emissions="",NA(),input_emissions/input_base_year_activities*cst_kg_tonne)</f>
        <v>117</v>
      </c>
      <c r="H20" s="4" t="s">
        <v>111</v>
      </c>
      <c r="I20" s="77"/>
      <c r="M20" s="77"/>
      <c r="N20" s="77"/>
      <c r="O20" s="77"/>
      <c r="P20" s="77"/>
      <c r="Q20" s="136" t="s">
        <v>121</v>
      </c>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row>
    <row r="21" spans="2:52" ht="12.65" customHeight="1" x14ac:dyDescent="0.35">
      <c r="B21" s="84"/>
      <c r="C21" s="6" t="s">
        <v>144</v>
      </c>
      <c r="D21" s="30" t="str">
        <f t="shared" si="0"/>
        <v>Residential buildings</v>
      </c>
      <c r="E21" s="30" t="str">
        <f>"Target year "&amp;input_target_year</f>
        <v>Target year 2030</v>
      </c>
      <c r="F21" s="1" t="str">
        <f>C21&amp;" "&amp;D21&amp;" in "&amp;E21</f>
        <v>FI carbon intensity Residential buildings in Target year 2030</v>
      </c>
      <c r="G21" s="9">
        <f ca="1">IF(input_target_year="",NA(), $K$12*$K$13*$K$14+cst_SI_2050)</f>
        <v>52.424350952475578</v>
      </c>
      <c r="H21" s="4" t="s">
        <v>111</v>
      </c>
      <c r="I21" s="77"/>
      <c r="M21" s="77"/>
      <c r="N21" s="77"/>
      <c r="O21" s="77"/>
      <c r="P21" s="77"/>
      <c r="Q21" s="136" t="s">
        <v>122</v>
      </c>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row>
    <row r="22" spans="2:52" ht="12.65" customHeight="1" x14ac:dyDescent="0.35">
      <c r="B22" s="82"/>
      <c r="C22" s="6" t="s">
        <v>30</v>
      </c>
      <c r="D22" s="30" t="str">
        <f t="shared" si="0"/>
        <v>Residential buildings</v>
      </c>
      <c r="E22" s="30" t="str">
        <f>"Base year "&amp;input_base_year</f>
        <v>Base year 2017</v>
      </c>
      <c r="F22" s="1" t="str">
        <f>C22&amp;" "&amp;D22&amp;" in "&amp;E22</f>
        <v>Sector carbon intensity Residential buildings in Base year 2017</v>
      </c>
      <c r="G22" s="14">
        <f ca="1">IF(input_base_year="",NA(),
IF(Input_asset_class_subsector=Admin!$B$16,INDEX(Tbl_IEA,MATCH(Data!$H19,Tbl_IEA_RowId,0),MATCH(input_base_year,Tbl_IEA_ColYear,0)),
IF(Input_asset_class_subsector=Admin!$B$15,INDEX(Tbl_IEA,MATCH(Data!$H27,Tbl_IEA_RowId,0),MATCH(input_base_year,Tbl_IEA_ColYear,0)),NA())))</f>
        <v>25.342876368834368</v>
      </c>
      <c r="H22" s="4" t="s">
        <v>111</v>
      </c>
      <c r="I22" s="77"/>
      <c r="M22" s="77"/>
      <c r="N22" s="77"/>
      <c r="O22" s="77"/>
      <c r="P22" s="77"/>
      <c r="Q22" s="136" t="s">
        <v>123</v>
      </c>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row>
    <row r="23" spans="2:52" ht="12.65" customHeight="1" x14ac:dyDescent="0.35">
      <c r="B23" s="77"/>
      <c r="C23" s="6" t="s">
        <v>30</v>
      </c>
      <c r="D23" s="30" t="str">
        <f t="shared" si="0"/>
        <v>Residential buildings</v>
      </c>
      <c r="E23" s="30" t="str">
        <f>"Target year "&amp;input_target_year</f>
        <v>Target year 2030</v>
      </c>
      <c r="F23" s="1" t="str">
        <f>C23&amp;" "&amp;D23&amp;" in "&amp;E23</f>
        <v>Sector carbon intensity Residential buildings in Target year 2030</v>
      </c>
      <c r="G23" s="15">
        <f ca="1">IF(input_base_year="",NA(),
IF(Input_asset_class_subsector=Admin!$B$16,INDEX(Tbl_IEA,MATCH(Data!$H19,Tbl_IEA_RowId,0),MATCH(input_target_year,Tbl_IEA_ColYear,0)),
IF(Input_asset_class_subsector=Admin!$B$15,INDEX(Tbl_IEA,MATCH(Data!$H27,Tbl_IEA_RowId,0),MATCH(input_target_year,Tbl_IEA_ColYear,0)),NA())))</f>
        <v>11.708364241105301</v>
      </c>
      <c r="H23" s="4" t="s">
        <v>111</v>
      </c>
      <c r="I23" s="77"/>
      <c r="M23" s="77"/>
      <c r="N23" s="77"/>
      <c r="O23" s="77"/>
      <c r="P23" s="77"/>
      <c r="Q23" s="136" t="s">
        <v>124</v>
      </c>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row>
    <row r="24" spans="2:52" ht="12.65" customHeight="1" x14ac:dyDescent="0.2">
      <c r="B24" s="83"/>
      <c r="C24" s="157"/>
      <c r="D24" s="157"/>
      <c r="E24" s="157"/>
      <c r="F24" s="158"/>
      <c r="G24" s="159"/>
      <c r="H24" s="160"/>
      <c r="I24" s="77"/>
      <c r="J24" s="77"/>
      <c r="K24" s="77"/>
      <c r="L24" s="77"/>
      <c r="M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row>
    <row r="25" spans="2:52" ht="12.65" customHeight="1" x14ac:dyDescent="0.2">
      <c r="B25" s="91"/>
      <c r="C25" s="90"/>
      <c r="D25" s="90"/>
      <c r="E25" s="91"/>
      <c r="F25" s="92"/>
      <c r="G25" s="91"/>
      <c r="H25" s="8" t="s">
        <v>125</v>
      </c>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row>
    <row r="26" spans="2:52" ht="12.65" customHeight="1" x14ac:dyDescent="0.2">
      <c r="B26" s="91"/>
      <c r="C26" s="90"/>
      <c r="D26" s="90"/>
      <c r="E26" s="91"/>
      <c r="F26" s="91"/>
      <c r="G26" s="91"/>
      <c r="H26" s="30">
        <f>2016</f>
        <v>2016</v>
      </c>
      <c r="I26" s="30">
        <f>H26+1</f>
        <v>2017</v>
      </c>
      <c r="J26" s="30">
        <f t="shared" ref="J26:AP26" si="2">I26+1</f>
        <v>2018</v>
      </c>
      <c r="K26" s="30">
        <f t="shared" si="2"/>
        <v>2019</v>
      </c>
      <c r="L26" s="30">
        <f t="shared" si="2"/>
        <v>2020</v>
      </c>
      <c r="M26" s="30">
        <f t="shared" si="2"/>
        <v>2021</v>
      </c>
      <c r="N26" s="30">
        <f t="shared" si="2"/>
        <v>2022</v>
      </c>
      <c r="O26" s="30">
        <f t="shared" si="2"/>
        <v>2023</v>
      </c>
      <c r="P26" s="30">
        <f t="shared" si="2"/>
        <v>2024</v>
      </c>
      <c r="Q26" s="30">
        <f t="shared" si="2"/>
        <v>2025</v>
      </c>
      <c r="R26" s="30">
        <f t="shared" si="2"/>
        <v>2026</v>
      </c>
      <c r="S26" s="30">
        <f t="shared" si="2"/>
        <v>2027</v>
      </c>
      <c r="T26" s="30">
        <f t="shared" si="2"/>
        <v>2028</v>
      </c>
      <c r="U26" s="30">
        <f t="shared" si="2"/>
        <v>2029</v>
      </c>
      <c r="V26" s="30">
        <f t="shared" si="2"/>
        <v>2030</v>
      </c>
      <c r="W26" s="30">
        <f t="shared" si="2"/>
        <v>2031</v>
      </c>
      <c r="X26" s="30">
        <f t="shared" si="2"/>
        <v>2032</v>
      </c>
      <c r="Y26" s="30">
        <f t="shared" si="2"/>
        <v>2033</v>
      </c>
      <c r="Z26" s="30">
        <f t="shared" si="2"/>
        <v>2034</v>
      </c>
      <c r="AA26" s="30">
        <f t="shared" si="2"/>
        <v>2035</v>
      </c>
      <c r="AB26" s="30">
        <f t="shared" si="2"/>
        <v>2036</v>
      </c>
      <c r="AC26" s="30">
        <f t="shared" si="2"/>
        <v>2037</v>
      </c>
      <c r="AD26" s="30">
        <f t="shared" si="2"/>
        <v>2038</v>
      </c>
      <c r="AE26" s="30">
        <f t="shared" si="2"/>
        <v>2039</v>
      </c>
      <c r="AF26" s="30">
        <f t="shared" si="2"/>
        <v>2040</v>
      </c>
      <c r="AG26" s="30">
        <f t="shared" si="2"/>
        <v>2041</v>
      </c>
      <c r="AH26" s="30">
        <f t="shared" si="2"/>
        <v>2042</v>
      </c>
      <c r="AI26" s="30">
        <f t="shared" si="2"/>
        <v>2043</v>
      </c>
      <c r="AJ26" s="30">
        <f t="shared" si="2"/>
        <v>2044</v>
      </c>
      <c r="AK26" s="30">
        <f t="shared" si="2"/>
        <v>2045</v>
      </c>
      <c r="AL26" s="30">
        <f t="shared" si="2"/>
        <v>2046</v>
      </c>
      <c r="AM26" s="30">
        <f t="shared" si="2"/>
        <v>2047</v>
      </c>
      <c r="AN26" s="30">
        <f t="shared" si="2"/>
        <v>2048</v>
      </c>
      <c r="AO26" s="30">
        <f t="shared" si="2"/>
        <v>2049</v>
      </c>
      <c r="AP26" s="30">
        <f t="shared" si="2"/>
        <v>2050</v>
      </c>
      <c r="AQ26" s="91"/>
      <c r="AR26" s="91"/>
      <c r="AS26" s="91"/>
      <c r="AT26" s="91"/>
      <c r="AU26" s="91"/>
      <c r="AV26" s="91"/>
      <c r="AW26" s="91"/>
      <c r="AX26" s="91"/>
      <c r="AY26" s="91"/>
      <c r="AZ26" s="91"/>
    </row>
    <row r="27" spans="2:52" ht="12.65" customHeight="1" x14ac:dyDescent="0.2">
      <c r="B27" s="91"/>
      <c r="C27" s="90"/>
      <c r="D27" s="90"/>
      <c r="E27" s="91"/>
      <c r="F27" s="91"/>
      <c r="G27" s="91"/>
      <c r="H27" s="137" t="s">
        <v>126</v>
      </c>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row>
    <row r="28" spans="2:52" ht="12.65" customHeight="1" x14ac:dyDescent="0.2">
      <c r="B28" s="91"/>
      <c r="C28" s="111" t="s">
        <v>13</v>
      </c>
      <c r="D28" s="111" t="s">
        <v>109</v>
      </c>
      <c r="E28" s="111" t="s">
        <v>113</v>
      </c>
      <c r="F28" s="111" t="s">
        <v>21</v>
      </c>
      <c r="G28" s="111" t="s">
        <v>34</v>
      </c>
      <c r="H28" s="118" t="e">
        <f t="shared" ref="H28:AP28" si="3">IF(input_base_year="",NA(),
IF(input_base_year&lt;=H$26,H$26,NA()))</f>
        <v>#N/A</v>
      </c>
      <c r="I28" s="118">
        <f t="shared" si="3"/>
        <v>2017</v>
      </c>
      <c r="J28" s="118">
        <f t="shared" si="3"/>
        <v>2018</v>
      </c>
      <c r="K28" s="118">
        <f t="shared" si="3"/>
        <v>2019</v>
      </c>
      <c r="L28" s="118">
        <f t="shared" si="3"/>
        <v>2020</v>
      </c>
      <c r="M28" s="118">
        <f t="shared" si="3"/>
        <v>2021</v>
      </c>
      <c r="N28" s="118">
        <f t="shared" si="3"/>
        <v>2022</v>
      </c>
      <c r="O28" s="118">
        <f t="shared" si="3"/>
        <v>2023</v>
      </c>
      <c r="P28" s="118">
        <f t="shared" si="3"/>
        <v>2024</v>
      </c>
      <c r="Q28" s="118">
        <f t="shared" si="3"/>
        <v>2025</v>
      </c>
      <c r="R28" s="118">
        <f t="shared" si="3"/>
        <v>2026</v>
      </c>
      <c r="S28" s="118">
        <f t="shared" si="3"/>
        <v>2027</v>
      </c>
      <c r="T28" s="118">
        <f t="shared" si="3"/>
        <v>2028</v>
      </c>
      <c r="U28" s="118">
        <f t="shared" si="3"/>
        <v>2029</v>
      </c>
      <c r="V28" s="118">
        <f t="shared" si="3"/>
        <v>2030</v>
      </c>
      <c r="W28" s="118">
        <f t="shared" si="3"/>
        <v>2031</v>
      </c>
      <c r="X28" s="118">
        <f t="shared" si="3"/>
        <v>2032</v>
      </c>
      <c r="Y28" s="118">
        <f t="shared" si="3"/>
        <v>2033</v>
      </c>
      <c r="Z28" s="118">
        <f t="shared" si="3"/>
        <v>2034</v>
      </c>
      <c r="AA28" s="118">
        <f t="shared" si="3"/>
        <v>2035</v>
      </c>
      <c r="AB28" s="118">
        <f t="shared" si="3"/>
        <v>2036</v>
      </c>
      <c r="AC28" s="118">
        <f t="shared" si="3"/>
        <v>2037</v>
      </c>
      <c r="AD28" s="118">
        <f t="shared" si="3"/>
        <v>2038</v>
      </c>
      <c r="AE28" s="118">
        <f t="shared" si="3"/>
        <v>2039</v>
      </c>
      <c r="AF28" s="118">
        <f t="shared" si="3"/>
        <v>2040</v>
      </c>
      <c r="AG28" s="118">
        <f t="shared" si="3"/>
        <v>2041</v>
      </c>
      <c r="AH28" s="118">
        <f t="shared" si="3"/>
        <v>2042</v>
      </c>
      <c r="AI28" s="118">
        <f t="shared" si="3"/>
        <v>2043</v>
      </c>
      <c r="AJ28" s="118">
        <f t="shared" si="3"/>
        <v>2044</v>
      </c>
      <c r="AK28" s="118">
        <f t="shared" si="3"/>
        <v>2045</v>
      </c>
      <c r="AL28" s="118">
        <f t="shared" si="3"/>
        <v>2046</v>
      </c>
      <c r="AM28" s="118">
        <f t="shared" si="3"/>
        <v>2047</v>
      </c>
      <c r="AN28" s="118">
        <f t="shared" si="3"/>
        <v>2048</v>
      </c>
      <c r="AO28" s="118">
        <f t="shared" si="3"/>
        <v>2049</v>
      </c>
      <c r="AP28" s="118">
        <f t="shared" si="3"/>
        <v>2050</v>
      </c>
      <c r="AQ28" s="93"/>
      <c r="AR28" s="93"/>
      <c r="AS28" s="93"/>
      <c r="AT28" s="93"/>
      <c r="AU28" s="93"/>
      <c r="AV28" s="93"/>
      <c r="AW28" s="93"/>
      <c r="AX28" s="93"/>
      <c r="AY28" s="93"/>
    </row>
    <row r="29" spans="2:52" ht="12" x14ac:dyDescent="0.2">
      <c r="B29" s="94"/>
      <c r="C29" s="30" t="s">
        <v>97</v>
      </c>
      <c r="D29" s="30" t="str">
        <f t="shared" ref="D29:D35" si="4">Input_asset_class_subsector</f>
        <v>Residential buildings</v>
      </c>
      <c r="E29" s="30"/>
      <c r="F29" s="1" t="str">
        <f>C29&amp;" "&amp;D29&amp;" "&amp;E29</f>
        <v xml:space="preserve">Sector activities Residential buildings </v>
      </c>
      <c r="G29" s="4" t="s">
        <v>11</v>
      </c>
      <c r="H29" s="121" t="e">
        <f>IF(Input_asset_class_subsector=Admin!$B$16,INDEX(Tbl_IEA,MATCH(Data!$H$15,Tbl_IEA_RowId,0),MATCH(H$28,Tbl_IEA_ColYear,0)),
IF(Input_asset_class_subsector=Admin!$B$15,INDEX(Tbl_IEA,MATCH(Data!$H$23,Tbl_IEA_RowId,0),MATCH(H$28,Tbl_IEA_ColYear,0)),NA()))</f>
        <v>#N/A</v>
      </c>
      <c r="I29" s="121">
        <f ca="1">IF(Input_asset_class_subsector=Admin!$B$16,INDEX(Tbl_IEA,MATCH(Data!$H$15,Tbl_IEA_RowId,0),MATCH(I$28,Tbl_IEA_ColYear,0)),
IF(Input_asset_class_subsector=Admin!$B$15,INDEX(Tbl_IEA,MATCH(Data!$H$23,Tbl_IEA_RowId,0),MATCH(I$28,Tbl_IEA_ColYear,0)),NA()))</f>
        <v>193861.85095540993</v>
      </c>
      <c r="J29" s="121">
        <f ca="1">IF(Input_asset_class_subsector=Admin!$B$16,INDEX(Tbl_IEA,MATCH(Data!$H$15,Tbl_IEA_RowId,0),MATCH(J$28,Tbl_IEA_ColYear,0)),
IF(Input_asset_class_subsector=Admin!$B$15,INDEX(Tbl_IEA,MATCH(Data!$H$23,Tbl_IEA_RowId,0),MATCH(J$28,Tbl_IEA_ColYear,0)),NA()))</f>
        <v>198435.86958598346</v>
      </c>
      <c r="K29" s="121">
        <f ca="1">IF(Input_asset_class_subsector=Admin!$B$16,INDEX(Tbl_IEA,MATCH(Data!$H$15,Tbl_IEA_RowId,0),MATCH(K$28,Tbl_IEA_ColYear,0)),
IF(Input_asset_class_subsector=Admin!$B$15,INDEX(Tbl_IEA,MATCH(Data!$H$23,Tbl_IEA_RowId,0),MATCH(K$28,Tbl_IEA_ColYear,0)),NA()))</f>
        <v>203009.88821655698</v>
      </c>
      <c r="L29" s="121">
        <f ca="1">IF(Input_asset_class_subsector=Admin!$B$16,INDEX(Tbl_IEA,MATCH(Data!$H$15,Tbl_IEA_RowId,0),MATCH(L$28,Tbl_IEA_ColYear,0)),
IF(Input_asset_class_subsector=Admin!$B$15,INDEX(Tbl_IEA,MATCH(Data!$H$23,Tbl_IEA_RowId,0),MATCH(L$28,Tbl_IEA_ColYear,0)),NA()))</f>
        <v>207583.90684713051</v>
      </c>
      <c r="M29" s="121">
        <f ca="1">IF(Input_asset_class_subsector=Admin!$B$16,INDEX(Tbl_IEA,MATCH(Data!$H$15,Tbl_IEA_RowId,0),MATCH(M$28,Tbl_IEA_ColYear,0)),
IF(Input_asset_class_subsector=Admin!$B$15,INDEX(Tbl_IEA,MATCH(Data!$H$23,Tbl_IEA_RowId,0),MATCH(M$28,Tbl_IEA_ColYear,0)),NA()))</f>
        <v>212157.92547770403</v>
      </c>
      <c r="N29" s="121">
        <f ca="1">IF(Input_asset_class_subsector=Admin!$B$16,INDEX(Tbl_IEA,MATCH(Data!$H$15,Tbl_IEA_RowId,0),MATCH(N$28,Tbl_IEA_ColYear,0)),
IF(Input_asset_class_subsector=Admin!$B$15,INDEX(Tbl_IEA,MATCH(Data!$H$23,Tbl_IEA_RowId,0),MATCH(N$28,Tbl_IEA_ColYear,0)),NA()))</f>
        <v>216731.94410827756</v>
      </c>
      <c r="O29" s="121">
        <f ca="1">IF(Input_asset_class_subsector=Admin!$B$16,INDEX(Tbl_IEA,MATCH(Data!$H$15,Tbl_IEA_RowId,0),MATCH(O$28,Tbl_IEA_ColYear,0)),
IF(Input_asset_class_subsector=Admin!$B$15,INDEX(Tbl_IEA,MATCH(Data!$H$23,Tbl_IEA_RowId,0),MATCH(O$28,Tbl_IEA_ColYear,0)),NA()))</f>
        <v>221305.96273885295</v>
      </c>
      <c r="P29" s="121">
        <f ca="1">IF(Input_asset_class_subsector=Admin!$B$16,INDEX(Tbl_IEA,MATCH(Data!$H$15,Tbl_IEA_RowId,0),MATCH(P$28,Tbl_IEA_ColYear,0)),
IF(Input_asset_class_subsector=Admin!$B$15,INDEX(Tbl_IEA,MATCH(Data!$H$23,Tbl_IEA_RowId,0),MATCH(P$28,Tbl_IEA_ColYear,0)),NA()))</f>
        <v>225879.98136942647</v>
      </c>
      <c r="Q29" s="121">
        <f ca="1">IF(Input_asset_class_subsector=Admin!$B$16,INDEX(Tbl_IEA,MATCH(Data!$H$15,Tbl_IEA_RowId,0),MATCH(Q$28,Tbl_IEA_ColYear,0)),
IF(Input_asset_class_subsector=Admin!$B$15,INDEX(Tbl_IEA,MATCH(Data!$H$23,Tbl_IEA_RowId,0),MATCH(Q$28,Tbl_IEA_ColYear,0)),NA()))</f>
        <v>230454</v>
      </c>
      <c r="R29" s="121">
        <f ca="1">IF(Input_asset_class_subsector=Admin!$B$16,INDEX(Tbl_IEA,MATCH(Data!$H$15,Tbl_IEA_RowId,0),MATCH(R$28,Tbl_IEA_ColYear,0)),
IF(Input_asset_class_subsector=Admin!$B$15,INDEX(Tbl_IEA,MATCH(Data!$H$23,Tbl_IEA_RowId,0),MATCH(R$28,Tbl_IEA_ColYear,0)),NA()))</f>
        <v>235778.57083285041</v>
      </c>
      <c r="S29" s="121">
        <f ca="1">IF(Input_asset_class_subsector=Admin!$B$16,INDEX(Tbl_IEA,MATCH(Data!$H$15,Tbl_IEA_RowId,0),MATCH(S$28,Tbl_IEA_ColYear,0)),
IF(Input_asset_class_subsector=Admin!$B$15,INDEX(Tbl_IEA,MATCH(Data!$H$23,Tbl_IEA_RowId,0),MATCH(S$28,Tbl_IEA_ColYear,0)),NA()))</f>
        <v>241103.14166570269</v>
      </c>
      <c r="T29" s="121">
        <f ca="1">IF(Input_asset_class_subsector=Admin!$B$16,INDEX(Tbl_IEA,MATCH(Data!$H$15,Tbl_IEA_RowId,0),MATCH(T$28,Tbl_IEA_ColYear,0)),
IF(Input_asset_class_subsector=Admin!$B$15,INDEX(Tbl_IEA,MATCH(Data!$H$23,Tbl_IEA_RowId,0),MATCH(T$28,Tbl_IEA_ColYear,0)),NA()))</f>
        <v>246427.7124985531</v>
      </c>
      <c r="U29" s="121">
        <f ca="1">IF(Input_asset_class_subsector=Admin!$B$16,INDEX(Tbl_IEA,MATCH(Data!$H$15,Tbl_IEA_RowId,0),MATCH(U$28,Tbl_IEA_ColYear,0)),
IF(Input_asset_class_subsector=Admin!$B$15,INDEX(Tbl_IEA,MATCH(Data!$H$23,Tbl_IEA_RowId,0),MATCH(U$28,Tbl_IEA_ColYear,0)),NA()))</f>
        <v>251752.28333140351</v>
      </c>
      <c r="V29" s="121">
        <f ca="1">IF(Input_asset_class_subsector=Admin!$B$16,INDEX(Tbl_IEA,MATCH(Data!$H$15,Tbl_IEA_RowId,0),MATCH(V$28,Tbl_IEA_ColYear,0)),
IF(Input_asset_class_subsector=Admin!$B$15,INDEX(Tbl_IEA,MATCH(Data!$H$23,Tbl_IEA_RowId,0),MATCH(V$28,Tbl_IEA_ColYear,0)),NA()))</f>
        <v>257076.85416425485</v>
      </c>
      <c r="W29" s="121">
        <f ca="1">IF(Input_asset_class_subsector=Admin!$B$16,INDEX(Tbl_IEA,MATCH(Data!$H$15,Tbl_IEA_RowId,0),MATCH(W$28,Tbl_IEA_ColYear,0)),
IF(Input_asset_class_subsector=Admin!$B$15,INDEX(Tbl_IEA,MATCH(Data!$H$23,Tbl_IEA_RowId,0),MATCH(W$28,Tbl_IEA_ColYear,0)),NA()))</f>
        <v>260767.28333140351</v>
      </c>
      <c r="X29" s="121">
        <f ca="1">IF(Input_asset_class_subsector=Admin!$B$16,INDEX(Tbl_IEA,MATCH(Data!$H$15,Tbl_IEA_RowId,0),MATCH(X$28,Tbl_IEA_ColYear,0)),
IF(Input_asset_class_subsector=Admin!$B$15,INDEX(Tbl_IEA,MATCH(Data!$H$23,Tbl_IEA_RowId,0),MATCH(X$28,Tbl_IEA_ColYear,0)),NA()))</f>
        <v>264457.7124985531</v>
      </c>
      <c r="Y29" s="121">
        <f ca="1">IF(Input_asset_class_subsector=Admin!$B$16,INDEX(Tbl_IEA,MATCH(Data!$H$15,Tbl_IEA_RowId,0),MATCH(Y$28,Tbl_IEA_ColYear,0)),
IF(Input_asset_class_subsector=Admin!$B$15,INDEX(Tbl_IEA,MATCH(Data!$H$23,Tbl_IEA_RowId,0),MATCH(Y$28,Tbl_IEA_ColYear,0)),NA()))</f>
        <v>268148.14166570175</v>
      </c>
      <c r="Z29" s="121">
        <f ca="1">IF(Input_asset_class_subsector=Admin!$B$16,INDEX(Tbl_IEA,MATCH(Data!$H$15,Tbl_IEA_RowId,0),MATCH(Z$28,Tbl_IEA_ColYear,0)),
IF(Input_asset_class_subsector=Admin!$B$15,INDEX(Tbl_IEA,MATCH(Data!$H$23,Tbl_IEA_RowId,0),MATCH(Z$28,Tbl_IEA_ColYear,0)),NA()))</f>
        <v>271838.57083285134</v>
      </c>
      <c r="AA29" s="121">
        <f ca="1">IF(Input_asset_class_subsector=Admin!$B$16,INDEX(Tbl_IEA,MATCH(Data!$H$15,Tbl_IEA_RowId,0),MATCH(AA$28,Tbl_IEA_ColYear,0)),
IF(Input_asset_class_subsector=Admin!$B$15,INDEX(Tbl_IEA,MATCH(Data!$H$23,Tbl_IEA_RowId,0),MATCH(AA$28,Tbl_IEA_ColYear,0)),NA()))</f>
        <v>275529</v>
      </c>
      <c r="AB29" s="121">
        <f ca="1">IF(Input_asset_class_subsector=Admin!$B$16,INDEX(Tbl_IEA,MATCH(Data!$H$15,Tbl_IEA_RowId,0),MATCH(AB$28,Tbl_IEA_ColYear,0)),
IF(Input_asset_class_subsector=Admin!$B$15,INDEX(Tbl_IEA,MATCH(Data!$H$23,Tbl_IEA_RowId,0),MATCH(AB$28,Tbl_IEA_ColYear,0)),NA()))</f>
        <v>279484.40000000037</v>
      </c>
      <c r="AC29" s="121">
        <f ca="1">IF(Input_asset_class_subsector=Admin!$B$16,INDEX(Tbl_IEA,MATCH(Data!$H$15,Tbl_IEA_RowId,0),MATCH(AC$28,Tbl_IEA_ColYear,0)),
IF(Input_asset_class_subsector=Admin!$B$15,INDEX(Tbl_IEA,MATCH(Data!$H$23,Tbl_IEA_RowId,0),MATCH(AC$28,Tbl_IEA_ColYear,0)),NA()))</f>
        <v>283439.79999999981</v>
      </c>
      <c r="AD29" s="121">
        <f ca="1">IF(Input_asset_class_subsector=Admin!$B$16,INDEX(Tbl_IEA,MATCH(Data!$H$15,Tbl_IEA_RowId,0),MATCH(AD$28,Tbl_IEA_ColYear,0)),
IF(Input_asset_class_subsector=Admin!$B$15,INDEX(Tbl_IEA,MATCH(Data!$H$23,Tbl_IEA_RowId,0),MATCH(AD$28,Tbl_IEA_ColYear,0)),NA()))</f>
        <v>287395.20000000019</v>
      </c>
      <c r="AE29" s="121">
        <f ca="1">IF(Input_asset_class_subsector=Admin!$B$16,INDEX(Tbl_IEA,MATCH(Data!$H$15,Tbl_IEA_RowId,0),MATCH(AE$28,Tbl_IEA_ColYear,0)),
IF(Input_asset_class_subsector=Admin!$B$15,INDEX(Tbl_IEA,MATCH(Data!$H$23,Tbl_IEA_RowId,0),MATCH(AE$28,Tbl_IEA_ColYear,0)),NA()))</f>
        <v>291350.60000000056</v>
      </c>
      <c r="AF29" s="121">
        <f ca="1">IF(Input_asset_class_subsector=Admin!$B$16,INDEX(Tbl_IEA,MATCH(Data!$H$15,Tbl_IEA_RowId,0),MATCH(AF$28,Tbl_IEA_ColYear,0)),
IF(Input_asset_class_subsector=Admin!$B$15,INDEX(Tbl_IEA,MATCH(Data!$H$23,Tbl_IEA_RowId,0),MATCH(AF$28,Tbl_IEA_ColYear,0)),NA()))</f>
        <v>295306</v>
      </c>
      <c r="AG29" s="121">
        <f ca="1">IF(Input_asset_class_subsector=Admin!$B$16,INDEX(Tbl_IEA,MATCH(Data!$H$15,Tbl_IEA_RowId,0),MATCH(AG$28,Tbl_IEA_ColYear,0)),
IF(Input_asset_class_subsector=Admin!$B$15,INDEX(Tbl_IEA,MATCH(Data!$H$23,Tbl_IEA_RowId,0),MATCH(AG$28,Tbl_IEA_ColYear,0)),NA()))</f>
        <v>299545.19999999925</v>
      </c>
      <c r="AH29" s="121">
        <f ca="1">IF(Input_asset_class_subsector=Admin!$B$16,INDEX(Tbl_IEA,MATCH(Data!$H$15,Tbl_IEA_RowId,0),MATCH(AH$28,Tbl_IEA_ColYear,0)),
IF(Input_asset_class_subsector=Admin!$B$15,INDEX(Tbl_IEA,MATCH(Data!$H$23,Tbl_IEA_RowId,0),MATCH(AH$28,Tbl_IEA_ColYear,0)),NA()))</f>
        <v>303784.40000000037</v>
      </c>
      <c r="AI29" s="121">
        <f ca="1">IF(Input_asset_class_subsector=Admin!$B$16,INDEX(Tbl_IEA,MATCH(Data!$H$15,Tbl_IEA_RowId,0),MATCH(AI$28,Tbl_IEA_ColYear,0)),
IF(Input_asset_class_subsector=Admin!$B$15,INDEX(Tbl_IEA,MATCH(Data!$H$23,Tbl_IEA_RowId,0),MATCH(AI$28,Tbl_IEA_ColYear,0)),NA()))</f>
        <v>308023.59999999963</v>
      </c>
      <c r="AJ29" s="121">
        <f ca="1">IF(Input_asset_class_subsector=Admin!$B$16,INDEX(Tbl_IEA,MATCH(Data!$H$15,Tbl_IEA_RowId,0),MATCH(AJ$28,Tbl_IEA_ColYear,0)),
IF(Input_asset_class_subsector=Admin!$B$15,INDEX(Tbl_IEA,MATCH(Data!$H$23,Tbl_IEA_RowId,0),MATCH(AJ$28,Tbl_IEA_ColYear,0)),NA()))</f>
        <v>312262.79999999888</v>
      </c>
      <c r="AK29" s="121">
        <f ca="1">IF(Input_asset_class_subsector=Admin!$B$16,INDEX(Tbl_IEA,MATCH(Data!$H$15,Tbl_IEA_RowId,0),MATCH(AK$28,Tbl_IEA_ColYear,0)),
IF(Input_asset_class_subsector=Admin!$B$15,INDEX(Tbl_IEA,MATCH(Data!$H$23,Tbl_IEA_RowId,0),MATCH(AK$28,Tbl_IEA_ColYear,0)),NA()))</f>
        <v>316501.99999999814</v>
      </c>
      <c r="AL29" s="121">
        <f ca="1">IF(Input_asset_class_subsector=Admin!$B$16,INDEX(Tbl_IEA,MATCH(Data!$H$15,Tbl_IEA_RowId,0),MATCH(AL$28,Tbl_IEA_ColYear,0)),
IF(Input_asset_class_subsector=Admin!$B$15,INDEX(Tbl_IEA,MATCH(Data!$H$23,Tbl_IEA_RowId,0),MATCH(AL$28,Tbl_IEA_ColYear,0)),NA()))</f>
        <v>321045.66087363288</v>
      </c>
      <c r="AM29" s="121">
        <f ca="1">IF(Input_asset_class_subsector=Admin!$B$16,INDEX(Tbl_IEA,MATCH(Data!$H$15,Tbl_IEA_RowId,0),MATCH(AM$28,Tbl_IEA_ColYear,0)),
IF(Input_asset_class_subsector=Admin!$B$15,INDEX(Tbl_IEA,MATCH(Data!$H$23,Tbl_IEA_RowId,0),MATCH(AM$28,Tbl_IEA_ColYear,0)),NA()))</f>
        <v>325589.32174726576</v>
      </c>
      <c r="AN29" s="121">
        <f ca="1">IF(Input_asset_class_subsector=Admin!$B$16,INDEX(Tbl_IEA,MATCH(Data!$H$15,Tbl_IEA_RowId,0),MATCH(AN$28,Tbl_IEA_ColYear,0)),
IF(Input_asset_class_subsector=Admin!$B$15,INDEX(Tbl_IEA,MATCH(Data!$H$23,Tbl_IEA_RowId,0),MATCH(AN$28,Tbl_IEA_ColYear,0)),NA()))</f>
        <v>330132.98262089863</v>
      </c>
      <c r="AO29" s="121">
        <f ca="1">IF(Input_asset_class_subsector=Admin!$B$16,INDEX(Tbl_IEA,MATCH(Data!$H$15,Tbl_IEA_RowId,0),MATCH(AO$28,Tbl_IEA_ColYear,0)),
IF(Input_asset_class_subsector=Admin!$B$15,INDEX(Tbl_IEA,MATCH(Data!$H$23,Tbl_IEA_RowId,0),MATCH(AO$28,Tbl_IEA_ColYear,0)),NA()))</f>
        <v>334676.64349453151</v>
      </c>
      <c r="AP29" s="121">
        <f ca="1">IF(Input_asset_class_subsector=Admin!$B$16,INDEX(Tbl_IEA,MATCH(Data!$H$15,Tbl_IEA_RowId,0),MATCH(AP$28,Tbl_IEA_ColYear,0)),
IF(Input_asset_class_subsector=Admin!$B$15,INDEX(Tbl_IEA,MATCH(Data!$H$23,Tbl_IEA_RowId,0),MATCH(AP$28,Tbl_IEA_ColYear,0)),NA()))</f>
        <v>339220.30436816602</v>
      </c>
      <c r="AQ29" s="93"/>
      <c r="AR29" s="93"/>
      <c r="AS29" s="93"/>
      <c r="AT29" s="93"/>
      <c r="AU29" s="93"/>
      <c r="AV29" s="93"/>
      <c r="AW29" s="93"/>
      <c r="AX29" s="93"/>
      <c r="AY29" s="93"/>
    </row>
    <row r="30" spans="2:52" ht="13.5" x14ac:dyDescent="0.35">
      <c r="B30" s="94"/>
      <c r="C30" s="30" t="s">
        <v>114</v>
      </c>
      <c r="D30" s="30" t="str">
        <f t="shared" si="4"/>
        <v>Residential buildings</v>
      </c>
      <c r="E30" s="30"/>
      <c r="F30" s="1" t="str">
        <f t="shared" ref="F30:F35" si="5">C30&amp;" "&amp;D30&amp;" "&amp;E30</f>
        <v xml:space="preserve">Sector intensity Residential buildings </v>
      </c>
      <c r="G30" s="4" t="s">
        <v>111</v>
      </c>
      <c r="H30" s="122" t="e">
        <f>IF(Input_asset_class_subsector=Admin!$B$16,INDEX(Tbl_IEA,MATCH(Data!$H$19,Tbl_IEA_RowId,0),MATCH(H$28,Tbl_IEA_ColYear,0)),
IF(Input_asset_class_subsector=Admin!$B$15,INDEX(Tbl_IEA,MATCH(Data!$H$27,Tbl_IEA_RowId,0),MATCH(H$28,Tbl_IEA_ColYear,0)),NA()))</f>
        <v>#N/A</v>
      </c>
      <c r="I30" s="122">
        <f ca="1">IF(Input_asset_class_subsector=Admin!$B$16,INDEX(Tbl_IEA,MATCH(Data!$H$19,Tbl_IEA_RowId,0),MATCH(I$28,Tbl_IEA_ColYear,0)),
IF(Input_asset_class_subsector=Admin!$B$15,INDEX(Tbl_IEA,MATCH(Data!$H$27,Tbl_IEA_RowId,0),MATCH(I$28,Tbl_IEA_ColYear,0)),NA()))</f>
        <v>25.342876368834368</v>
      </c>
      <c r="J30" s="122">
        <f ca="1">IF(Input_asset_class_subsector=Admin!$B$16,INDEX(Tbl_IEA,MATCH(Data!$H$19,Tbl_IEA_RowId,0),MATCH(J$28,Tbl_IEA_ColYear,0)),
IF(Input_asset_class_subsector=Admin!$B$15,INDEX(Tbl_IEA,MATCH(Data!$H$27,Tbl_IEA_RowId,0),MATCH(J$28,Tbl_IEA_ColYear,0)),NA()))</f>
        <v>24.290118050294041</v>
      </c>
      <c r="K30" s="122">
        <f ca="1">IF(Input_asset_class_subsector=Admin!$B$16,INDEX(Tbl_IEA,MATCH(Data!$H$19,Tbl_IEA_RowId,0),MATCH(K$28,Tbl_IEA_ColYear,0)),
IF(Input_asset_class_subsector=Admin!$B$15,INDEX(Tbl_IEA,MATCH(Data!$H$27,Tbl_IEA_RowId,0),MATCH(K$28,Tbl_IEA_ColYear,0)),NA()))</f>
        <v>23.237359731753259</v>
      </c>
      <c r="L30" s="122">
        <f ca="1">IF(Input_asset_class_subsector=Admin!$B$16,INDEX(Tbl_IEA,MATCH(Data!$H$19,Tbl_IEA_RowId,0),MATCH(L$28,Tbl_IEA_ColYear,0)),
IF(Input_asset_class_subsector=Admin!$B$15,INDEX(Tbl_IEA,MATCH(Data!$H$27,Tbl_IEA_RowId,0),MATCH(L$28,Tbl_IEA_ColYear,0)),NA()))</f>
        <v>22.184601413212931</v>
      </c>
      <c r="M30" s="122">
        <f ca="1">IF(Input_asset_class_subsector=Admin!$B$16,INDEX(Tbl_IEA,MATCH(Data!$H$19,Tbl_IEA_RowId,0),MATCH(M$28,Tbl_IEA_ColYear,0)),
IF(Input_asset_class_subsector=Admin!$B$15,INDEX(Tbl_IEA,MATCH(Data!$H$27,Tbl_IEA_RowId,0),MATCH(M$28,Tbl_IEA_ColYear,0)),NA()))</f>
        <v>21.131843094672149</v>
      </c>
      <c r="N30" s="122">
        <f ca="1">IF(Input_asset_class_subsector=Admin!$B$16,INDEX(Tbl_IEA,MATCH(Data!$H$19,Tbl_IEA_RowId,0),MATCH(N$28,Tbl_IEA_ColYear,0)),
IF(Input_asset_class_subsector=Admin!$B$15,INDEX(Tbl_IEA,MATCH(Data!$H$27,Tbl_IEA_RowId,0),MATCH(N$28,Tbl_IEA_ColYear,0)),NA()))</f>
        <v>20.079084776131822</v>
      </c>
      <c r="O30" s="122">
        <f ca="1">IF(Input_asset_class_subsector=Admin!$B$16,INDEX(Tbl_IEA,MATCH(Data!$H$19,Tbl_IEA_RowId,0),MATCH(O$28,Tbl_IEA_ColYear,0)),
IF(Input_asset_class_subsector=Admin!$B$15,INDEX(Tbl_IEA,MATCH(Data!$H$27,Tbl_IEA_RowId,0),MATCH(O$28,Tbl_IEA_ColYear,0)),NA()))</f>
        <v>19.02632645759104</v>
      </c>
      <c r="P30" s="122">
        <f ca="1">IF(Input_asset_class_subsector=Admin!$B$16,INDEX(Tbl_IEA,MATCH(Data!$H$19,Tbl_IEA_RowId,0),MATCH(P$28,Tbl_IEA_ColYear,0)),
IF(Input_asset_class_subsector=Admin!$B$15,INDEX(Tbl_IEA,MATCH(Data!$H$27,Tbl_IEA_RowId,0),MATCH(P$28,Tbl_IEA_ColYear,0)),NA()))</f>
        <v>17.973568139050712</v>
      </c>
      <c r="Q30" s="122">
        <f ca="1">IF(Input_asset_class_subsector=Admin!$B$16,INDEX(Tbl_IEA,MATCH(Data!$H$19,Tbl_IEA_RowId,0),MATCH(Q$28,Tbl_IEA_ColYear,0)),
IF(Input_asset_class_subsector=Admin!$B$15,INDEX(Tbl_IEA,MATCH(Data!$H$27,Tbl_IEA_RowId,0),MATCH(Q$28,Tbl_IEA_ColYear,0)),NA()))</f>
        <v>16.92080982050993</v>
      </c>
      <c r="R30" s="122">
        <f ca="1">IF(Input_asset_class_subsector=Admin!$B$16,INDEX(Tbl_IEA,MATCH(Data!$H$19,Tbl_IEA_RowId,0),MATCH(R$28,Tbl_IEA_ColYear,0)),
IF(Input_asset_class_subsector=Admin!$B$15,INDEX(Tbl_IEA,MATCH(Data!$H$27,Tbl_IEA_RowId,0),MATCH(R$28,Tbl_IEA_ColYear,0)),NA()))</f>
        <v>15.878320704629004</v>
      </c>
      <c r="S30" s="122">
        <f ca="1">IF(Input_asset_class_subsector=Admin!$B$16,INDEX(Tbl_IEA,MATCH(Data!$H$19,Tbl_IEA_RowId,0),MATCH(S$28,Tbl_IEA_ColYear,0)),
IF(Input_asset_class_subsector=Admin!$B$15,INDEX(Tbl_IEA,MATCH(Data!$H$27,Tbl_IEA_RowId,0),MATCH(S$28,Tbl_IEA_ColYear,0)),NA()))</f>
        <v>14.835831588748079</v>
      </c>
      <c r="T30" s="122">
        <f ca="1">IF(Input_asset_class_subsector=Admin!$B$16,INDEX(Tbl_IEA,MATCH(Data!$H$19,Tbl_IEA_RowId,0),MATCH(T$28,Tbl_IEA_ColYear,0)),
IF(Input_asset_class_subsector=Admin!$B$15,INDEX(Tbl_IEA,MATCH(Data!$H$27,Tbl_IEA_RowId,0),MATCH(T$28,Tbl_IEA_ColYear,0)),NA()))</f>
        <v>13.793342472867153</v>
      </c>
      <c r="U30" s="122">
        <f ca="1">IF(Input_asset_class_subsector=Admin!$B$16,INDEX(Tbl_IEA,MATCH(Data!$H$19,Tbl_IEA_RowId,0),MATCH(U$28,Tbl_IEA_ColYear,0)),
IF(Input_asset_class_subsector=Admin!$B$15,INDEX(Tbl_IEA,MATCH(Data!$H$27,Tbl_IEA_RowId,0),MATCH(U$28,Tbl_IEA_ColYear,0)),NA()))</f>
        <v>12.750853356986227</v>
      </c>
      <c r="V30" s="122">
        <f ca="1">IF(Input_asset_class_subsector=Admin!$B$16,INDEX(Tbl_IEA,MATCH(Data!$H$19,Tbl_IEA_RowId,0),MATCH(V$28,Tbl_IEA_ColYear,0)),
IF(Input_asset_class_subsector=Admin!$B$15,INDEX(Tbl_IEA,MATCH(Data!$H$27,Tbl_IEA_RowId,0),MATCH(V$28,Tbl_IEA_ColYear,0)),NA()))</f>
        <v>11.708364241105301</v>
      </c>
      <c r="W30" s="122">
        <f ca="1">IF(Input_asset_class_subsector=Admin!$B$16,INDEX(Tbl_IEA,MATCH(Data!$H$19,Tbl_IEA_RowId,0),MATCH(W$28,Tbl_IEA_ColYear,0)),
IF(Input_asset_class_subsector=Admin!$B$15,INDEX(Tbl_IEA,MATCH(Data!$H$27,Tbl_IEA_RowId,0),MATCH(W$28,Tbl_IEA_ColYear,0)),NA()))</f>
        <v>10.905156174896547</v>
      </c>
      <c r="X30" s="122">
        <f ca="1">IF(Input_asset_class_subsector=Admin!$B$16,INDEX(Tbl_IEA,MATCH(Data!$H$19,Tbl_IEA_RowId,0),MATCH(X$28,Tbl_IEA_ColYear,0)),
IF(Input_asset_class_subsector=Admin!$B$15,INDEX(Tbl_IEA,MATCH(Data!$H$27,Tbl_IEA_RowId,0),MATCH(X$28,Tbl_IEA_ColYear,0)),NA()))</f>
        <v>10.101948108687793</v>
      </c>
      <c r="Y30" s="122">
        <f ca="1">IF(Input_asset_class_subsector=Admin!$B$16,INDEX(Tbl_IEA,MATCH(Data!$H$19,Tbl_IEA_RowId,0),MATCH(Y$28,Tbl_IEA_ColYear,0)),
IF(Input_asset_class_subsector=Admin!$B$15,INDEX(Tbl_IEA,MATCH(Data!$H$27,Tbl_IEA_RowId,0),MATCH(Y$28,Tbl_IEA_ColYear,0)),NA()))</f>
        <v>9.2987400424790394</v>
      </c>
      <c r="Z30" s="122">
        <f ca="1">IF(Input_asset_class_subsector=Admin!$B$16,INDEX(Tbl_IEA,MATCH(Data!$H$19,Tbl_IEA_RowId,0),MATCH(Z$28,Tbl_IEA_ColYear,0)),
IF(Input_asset_class_subsector=Admin!$B$15,INDEX(Tbl_IEA,MATCH(Data!$H$27,Tbl_IEA_RowId,0),MATCH(Z$28,Tbl_IEA_ColYear,0)),NA()))</f>
        <v>8.4955319762700583</v>
      </c>
      <c r="AA30" s="122">
        <f ca="1">IF(Input_asset_class_subsector=Admin!$B$16,INDEX(Tbl_IEA,MATCH(Data!$H$19,Tbl_IEA_RowId,0),MATCH(AA$28,Tbl_IEA_ColYear,0)),
IF(Input_asset_class_subsector=Admin!$B$15,INDEX(Tbl_IEA,MATCH(Data!$H$27,Tbl_IEA_RowId,0),MATCH(AA$28,Tbl_IEA_ColYear,0)),NA()))</f>
        <v>7.6923239100615319</v>
      </c>
      <c r="AB30" s="122">
        <f ca="1">IF(Input_asset_class_subsector=Admin!$B$16,INDEX(Tbl_IEA,MATCH(Data!$H$19,Tbl_IEA_RowId,0),MATCH(AB$28,Tbl_IEA_ColYear,0)),
IF(Input_asset_class_subsector=Admin!$B$15,INDEX(Tbl_IEA,MATCH(Data!$H$27,Tbl_IEA_RowId,0),MATCH(AB$28,Tbl_IEA_ColYear,0)),NA()))</f>
        <v>7.0730826478777544</v>
      </c>
      <c r="AC30" s="122">
        <f ca="1">IF(Input_asset_class_subsector=Admin!$B$16,INDEX(Tbl_IEA,MATCH(Data!$H$19,Tbl_IEA_RowId,0),MATCH(AC$28,Tbl_IEA_ColYear,0)),
IF(Input_asset_class_subsector=Admin!$B$15,INDEX(Tbl_IEA,MATCH(Data!$H$27,Tbl_IEA_RowId,0),MATCH(AC$28,Tbl_IEA_ColYear,0)),NA()))</f>
        <v>6.4538413856939769</v>
      </c>
      <c r="AD30" s="122">
        <f ca="1">IF(Input_asset_class_subsector=Admin!$B$16,INDEX(Tbl_IEA,MATCH(Data!$H$19,Tbl_IEA_RowId,0),MATCH(AD$28,Tbl_IEA_ColYear,0)),
IF(Input_asset_class_subsector=Admin!$B$15,INDEX(Tbl_IEA,MATCH(Data!$H$27,Tbl_IEA_RowId,0),MATCH(AD$28,Tbl_IEA_ColYear,0)),NA()))</f>
        <v>5.8346001235101994</v>
      </c>
      <c r="AE30" s="122">
        <f ca="1">IF(Input_asset_class_subsector=Admin!$B$16,INDEX(Tbl_IEA,MATCH(Data!$H$19,Tbl_IEA_RowId,0),MATCH(AE$28,Tbl_IEA_ColYear,0)),
IF(Input_asset_class_subsector=Admin!$B$15,INDEX(Tbl_IEA,MATCH(Data!$H$27,Tbl_IEA_RowId,0),MATCH(AE$28,Tbl_IEA_ColYear,0)),NA()))</f>
        <v>5.2153588613264219</v>
      </c>
      <c r="AF30" s="122">
        <f ca="1">IF(Input_asset_class_subsector=Admin!$B$16,INDEX(Tbl_IEA,MATCH(Data!$H$19,Tbl_IEA_RowId,0),MATCH(AF$28,Tbl_IEA_ColYear,0)),
IF(Input_asset_class_subsector=Admin!$B$15,INDEX(Tbl_IEA,MATCH(Data!$H$27,Tbl_IEA_RowId,0),MATCH(AF$28,Tbl_IEA_ColYear,0)),NA()))</f>
        <v>4.5961175991425307</v>
      </c>
      <c r="AG30" s="122">
        <f ca="1">IF(Input_asset_class_subsector=Admin!$B$16,INDEX(Tbl_IEA,MATCH(Data!$H$19,Tbl_IEA_RowId,0),MATCH(AG$28,Tbl_IEA_ColYear,0)),
IF(Input_asset_class_subsector=Admin!$B$15,INDEX(Tbl_IEA,MATCH(Data!$H$27,Tbl_IEA_RowId,0),MATCH(AG$28,Tbl_IEA_ColYear,0)),NA()))</f>
        <v>4.1281394634916069</v>
      </c>
      <c r="AH30" s="122">
        <f ca="1">IF(Input_asset_class_subsector=Admin!$B$16,INDEX(Tbl_IEA,MATCH(Data!$H$19,Tbl_IEA_RowId,0),MATCH(AH$28,Tbl_IEA_ColYear,0)),
IF(Input_asset_class_subsector=Admin!$B$15,INDEX(Tbl_IEA,MATCH(Data!$H$27,Tbl_IEA_RowId,0),MATCH(AH$28,Tbl_IEA_ColYear,0)),NA()))</f>
        <v>3.660161327840683</v>
      </c>
      <c r="AI30" s="122">
        <f ca="1">IF(Input_asset_class_subsector=Admin!$B$16,INDEX(Tbl_IEA,MATCH(Data!$H$19,Tbl_IEA_RowId,0),MATCH(AI$28,Tbl_IEA_ColYear,0)),
IF(Input_asset_class_subsector=Admin!$B$15,INDEX(Tbl_IEA,MATCH(Data!$H$27,Tbl_IEA_RowId,0),MATCH(AI$28,Tbl_IEA_ColYear,0)),NA()))</f>
        <v>3.1921831921897592</v>
      </c>
      <c r="AJ30" s="122">
        <f ca="1">IF(Input_asset_class_subsector=Admin!$B$16,INDEX(Tbl_IEA,MATCH(Data!$H$19,Tbl_IEA_RowId,0),MATCH(AJ$28,Tbl_IEA_ColYear,0)),
IF(Input_asset_class_subsector=Admin!$B$15,INDEX(Tbl_IEA,MATCH(Data!$H$27,Tbl_IEA_RowId,0),MATCH(AJ$28,Tbl_IEA_ColYear,0)),NA()))</f>
        <v>2.7242050565389491</v>
      </c>
      <c r="AK30" s="122">
        <f ca="1">IF(Input_asset_class_subsector=Admin!$B$16,INDEX(Tbl_IEA,MATCH(Data!$H$19,Tbl_IEA_RowId,0),MATCH(AK$28,Tbl_IEA_ColYear,0)),
IF(Input_asset_class_subsector=Admin!$B$15,INDEX(Tbl_IEA,MATCH(Data!$H$27,Tbl_IEA_RowId,0),MATCH(AK$28,Tbl_IEA_ColYear,0)),NA()))</f>
        <v>2.2562269208880252</v>
      </c>
      <c r="AL30" s="122">
        <f ca="1">IF(Input_asset_class_subsector=Admin!$B$16,INDEX(Tbl_IEA,MATCH(Data!$H$19,Tbl_IEA_RowId,0),MATCH(AL$28,Tbl_IEA_ColYear,0)),
IF(Input_asset_class_subsector=Admin!$B$15,INDEX(Tbl_IEA,MATCH(Data!$H$27,Tbl_IEA_RowId,0),MATCH(AL$28,Tbl_IEA_ColYear,0)),NA()))</f>
        <v>1.967108940224648</v>
      </c>
      <c r="AM30" s="122">
        <f ca="1">IF(Input_asset_class_subsector=Admin!$B$16,INDEX(Tbl_IEA,MATCH(Data!$H$19,Tbl_IEA_RowId,0),MATCH(AM$28,Tbl_IEA_ColYear,0)),
IF(Input_asset_class_subsector=Admin!$B$15,INDEX(Tbl_IEA,MATCH(Data!$H$27,Tbl_IEA_RowId,0),MATCH(AM$28,Tbl_IEA_ColYear,0)),NA()))</f>
        <v>1.6779909595612708</v>
      </c>
      <c r="AN30" s="122">
        <f ca="1">IF(Input_asset_class_subsector=Admin!$B$16,INDEX(Tbl_IEA,MATCH(Data!$H$19,Tbl_IEA_RowId,0),MATCH(AN$28,Tbl_IEA_ColYear,0)),
IF(Input_asset_class_subsector=Admin!$B$15,INDEX(Tbl_IEA,MATCH(Data!$H$27,Tbl_IEA_RowId,0),MATCH(AN$28,Tbl_IEA_ColYear,0)),NA()))</f>
        <v>1.3888729788978935</v>
      </c>
      <c r="AO30" s="122">
        <f ca="1">IF(Input_asset_class_subsector=Admin!$B$16,INDEX(Tbl_IEA,MATCH(Data!$H$19,Tbl_IEA_RowId,0),MATCH(AO$28,Tbl_IEA_ColYear,0)),
IF(Input_asset_class_subsector=Admin!$B$15,INDEX(Tbl_IEA,MATCH(Data!$H$27,Tbl_IEA_RowId,0),MATCH(AO$28,Tbl_IEA_ColYear,0)),NA()))</f>
        <v>1.0997549982345163</v>
      </c>
      <c r="AP30" s="122">
        <f ca="1">IF(Input_asset_class_subsector=Admin!$B$16,INDEX(Tbl_IEA,MATCH(Data!$H$19,Tbl_IEA_RowId,0),MATCH(AP$28,Tbl_IEA_ColYear,0)),
IF(Input_asset_class_subsector=Admin!$B$15,INDEX(Tbl_IEA,MATCH(Data!$H$27,Tbl_IEA_RowId,0),MATCH(AP$28,Tbl_IEA_ColYear,0)),NA()))</f>
        <v>0.81063701757114071</v>
      </c>
      <c r="AQ30" s="93"/>
      <c r="AR30" s="93"/>
      <c r="AS30" s="93"/>
      <c r="AT30" s="93"/>
      <c r="AU30" s="93"/>
      <c r="AV30" s="93"/>
      <c r="AW30" s="93"/>
      <c r="AX30" s="93"/>
      <c r="AY30" s="93"/>
    </row>
    <row r="31" spans="2:52" ht="12" x14ac:dyDescent="0.2">
      <c r="B31" s="94"/>
      <c r="C31" s="6" t="s">
        <v>141</v>
      </c>
      <c r="D31" s="30" t="str">
        <f t="shared" si="4"/>
        <v>Residential buildings</v>
      </c>
      <c r="E31" s="30"/>
      <c r="F31" s="1" t="str">
        <f t="shared" si="5"/>
        <v xml:space="preserve">FI activities Residential buildings </v>
      </c>
      <c r="G31" s="4" t="s">
        <v>11</v>
      </c>
      <c r="H31" s="123" t="e">
        <f t="shared" ref="H31:AP31" ca="1" si="6">IFERROR($G$12*((1+$G$14/100)^(H$28-input_base_year)),NA())</f>
        <v>#N/A</v>
      </c>
      <c r="I31" s="123">
        <f t="shared" ca="1" si="6"/>
        <v>2400000</v>
      </c>
      <c r="J31" s="123">
        <f t="shared" ca="1" si="6"/>
        <v>2452673.5696364339</v>
      </c>
      <c r="K31" s="123">
        <f t="shared" ca="1" si="6"/>
        <v>2506503.1829971364</v>
      </c>
      <c r="L31" s="123">
        <f t="shared" ca="1" si="6"/>
        <v>2561514.2121444461</v>
      </c>
      <c r="M31" s="123">
        <f t="shared" ca="1" si="6"/>
        <v>2617732.5859894902</v>
      </c>
      <c r="N31" s="123">
        <f t="shared" ca="1" si="6"/>
        <v>2675184.8025135235</v>
      </c>
      <c r="O31" s="123">
        <f t="shared" ca="1" si="6"/>
        <v>2733897.9412574926</v>
      </c>
      <c r="P31" s="123">
        <f t="shared" ca="1" si="6"/>
        <v>2793899.6760857138</v>
      </c>
      <c r="Q31" s="123">
        <f t="shared" ca="1" si="6"/>
        <v>2855218.2882296769</v>
      </c>
      <c r="R31" s="123">
        <f t="shared" ca="1" si="6"/>
        <v>2917882.679618129</v>
      </c>
      <c r="S31" s="123">
        <f t="shared" ca="1" si="6"/>
        <v>2981922.3864997164</v>
      </c>
      <c r="T31" s="123">
        <f t="shared" ca="1" si="6"/>
        <v>3047367.5933646061</v>
      </c>
      <c r="U31" s="123">
        <f t="shared" ca="1" si="6"/>
        <v>3114249.1471716492</v>
      </c>
      <c r="V31" s="123">
        <f t="shared" ca="1" si="6"/>
        <v>3182598.5718877949</v>
      </c>
      <c r="W31" s="123">
        <f t="shared" ca="1" si="6"/>
        <v>3252448.0833466067</v>
      </c>
      <c r="X31" s="123">
        <f t="shared" ca="1" si="6"/>
        <v>3323830.6044328753</v>
      </c>
      <c r="Y31" s="123">
        <f t="shared" ca="1" si="6"/>
        <v>3396779.7806005022</v>
      </c>
      <c r="Z31" s="123">
        <f t="shared" ca="1" si="6"/>
        <v>3471329.995730957</v>
      </c>
      <c r="AA31" s="123">
        <f t="shared" ca="1" si="6"/>
        <v>3547516.3883397803</v>
      </c>
      <c r="AB31" s="123">
        <f t="shared" ca="1" si="6"/>
        <v>3625374.8681387836</v>
      </c>
      <c r="AC31" s="123">
        <f t="shared" ca="1" si="6"/>
        <v>3704942.1329617365</v>
      </c>
      <c r="AD31" s="123">
        <f t="shared" ca="1" si="6"/>
        <v>3786255.6860615346</v>
      </c>
      <c r="AE31" s="123">
        <f t="shared" ca="1" si="6"/>
        <v>3869353.8537869966</v>
      </c>
      <c r="AF31" s="123">
        <f t="shared" ca="1" si="6"/>
        <v>3954275.8036476024</v>
      </c>
      <c r="AG31" s="123">
        <f t="shared" ca="1" si="6"/>
        <v>4041061.5627747262</v>
      </c>
      <c r="AH31" s="123">
        <f t="shared" ca="1" si="6"/>
        <v>4129752.036788031</v>
      </c>
      <c r="AI31" s="123">
        <f t="shared" ca="1" si="6"/>
        <v>4220389.0290759308</v>
      </c>
      <c r="AJ31" s="123">
        <f t="shared" ca="1" si="6"/>
        <v>4313015.260499212</v>
      </c>
      <c r="AK31" s="123">
        <f t="shared" ca="1" si="6"/>
        <v>4407674.3895270899</v>
      </c>
      <c r="AL31" s="123">
        <f t="shared" ca="1" si="6"/>
        <v>4504411.0328152068</v>
      </c>
      <c r="AM31" s="123">
        <f t="shared" ca="1" si="6"/>
        <v>4603270.7862352543</v>
      </c>
      <c r="AN31" s="123">
        <f t="shared" ca="1" si="6"/>
        <v>4704300.2463661404</v>
      </c>
      <c r="AO31" s="123">
        <f t="shared" ca="1" si="6"/>
        <v>4807547.032456832</v>
      </c>
      <c r="AP31" s="123">
        <f t="shared" ca="1" si="6"/>
        <v>4913059.8088712273</v>
      </c>
      <c r="AQ31" s="93"/>
      <c r="AR31" s="93"/>
      <c r="AS31" s="93"/>
      <c r="AT31" s="93"/>
      <c r="AU31" s="93"/>
      <c r="AV31" s="93"/>
      <c r="AW31" s="93"/>
      <c r="AX31" s="93"/>
      <c r="AY31" s="93"/>
    </row>
    <row r="32" spans="2:52" ht="13.5" x14ac:dyDescent="0.35">
      <c r="B32" s="94"/>
      <c r="C32" s="6" t="s">
        <v>144</v>
      </c>
      <c r="D32" s="30" t="str">
        <f t="shared" si="4"/>
        <v>Residential buildings</v>
      </c>
      <c r="E32" s="30" t="s">
        <v>32</v>
      </c>
      <c r="F32" s="1" t="str">
        <f t="shared" si="5"/>
        <v>FI carbon intensity Residential buildings Line</v>
      </c>
      <c r="G32" s="4" t="s">
        <v>111</v>
      </c>
      <c r="H32" s="125" t="e">
        <f t="shared" ref="H32:AP32" si="7">IF(OR(input_base_year="",input_target_year=""),NA(),
IF(input_base_year=H$28,$G$20,
IF(input_base_year&lt;H$28,$K$12*((H$30-cst_SI_2050)/($G$22-cst_SI_2050))*(($G$12/$G$16)/(H$31/H$29))+cst_SI_2050,NA())))</f>
        <v>#N/A</v>
      </c>
      <c r="I32" s="125">
        <f t="shared" si="7"/>
        <v>117</v>
      </c>
      <c r="J32" s="125">
        <f t="shared" ca="1" si="7"/>
        <v>112.19314309485695</v>
      </c>
      <c r="K32" s="125">
        <f t="shared" ca="1" si="7"/>
        <v>107.31387438014585</v>
      </c>
      <c r="L32" s="125">
        <f t="shared" ca="1" si="7"/>
        <v>102.37235935505541</v>
      </c>
      <c r="M32" s="125">
        <f t="shared" ca="1" si="7"/>
        <v>97.378256381826191</v>
      </c>
      <c r="N32" s="125">
        <f t="shared" ca="1" si="7"/>
        <v>92.340736011277912</v>
      </c>
      <c r="O32" s="125">
        <f t="shared" ca="1" si="7"/>
        <v>87.268499664211205</v>
      </c>
      <c r="P32" s="125">
        <f t="shared" ca="1" si="7"/>
        <v>82.169797688529655</v>
      </c>
      <c r="Q32" s="125">
        <f t="shared" ca="1" si="7"/>
        <v>77.052446811230794</v>
      </c>
      <c r="R32" s="125">
        <f t="shared" ca="1" si="7"/>
        <v>72.199598389608838</v>
      </c>
      <c r="S32" s="125">
        <f t="shared" ca="1" si="7"/>
        <v>67.301733227284231</v>
      </c>
      <c r="T32" s="125">
        <f t="shared" ca="1" si="7"/>
        <v>62.367711136492069</v>
      </c>
      <c r="U32" s="125">
        <f t="shared" ca="1" si="7"/>
        <v>57.405931465527551</v>
      </c>
      <c r="V32" s="125">
        <f t="shared" ca="1" si="7"/>
        <v>52.424350952475578</v>
      </c>
      <c r="W32" s="125">
        <f t="shared" ca="1" si="7"/>
        <v>48.265030858339706</v>
      </c>
      <c r="X32" s="125">
        <f t="shared" ca="1" si="7"/>
        <v>44.155977647543878</v>
      </c>
      <c r="Y32" s="125">
        <f t="shared" ca="1" si="7"/>
        <v>40.099196545714385</v>
      </c>
      <c r="Z32" s="125">
        <f t="shared" ca="1" si="7"/>
        <v>36.096535232477891</v>
      </c>
      <c r="AA32" s="125">
        <f t="shared" ca="1" si="7"/>
        <v>32.149690719394343</v>
      </c>
      <c r="AB32" s="125">
        <f t="shared" ca="1" si="7"/>
        <v>29.117822105689367</v>
      </c>
      <c r="AC32" s="125">
        <f t="shared" ca="1" si="7"/>
        <v>26.124198147045799</v>
      </c>
      <c r="AD32" s="125">
        <f t="shared" ca="1" si="7"/>
        <v>23.170239457249625</v>
      </c>
      <c r="AE32" s="125">
        <f t="shared" ca="1" si="7"/>
        <v>20.257252236496342</v>
      </c>
      <c r="AF32" s="125">
        <f t="shared" ca="1" si="7"/>
        <v>17.386433298368804</v>
      </c>
      <c r="AG32" s="125">
        <f t="shared" ca="1" si="7"/>
        <v>15.229340604587614</v>
      </c>
      <c r="AH32" s="125">
        <f t="shared" ca="1" si="7"/>
        <v>13.100921133310861</v>
      </c>
      <c r="AI32" s="125">
        <f t="shared" ca="1" si="7"/>
        <v>11.002148011097532</v>
      </c>
      <c r="AJ32" s="125">
        <f t="shared" ca="1" si="7"/>
        <v>8.9339133603956373</v>
      </c>
      <c r="AK32" s="125">
        <f t="shared" ca="1" si="7"/>
        <v>6.897031887987179</v>
      </c>
      <c r="AL32" s="125">
        <f t="shared" ca="1" si="7"/>
        <v>5.6435830809722818</v>
      </c>
      <c r="AM32" s="125">
        <f t="shared" ca="1" si="7"/>
        <v>4.4077000724018172</v>
      </c>
      <c r="AN32" s="125">
        <f t="shared" ca="1" si="7"/>
        <v>3.1899251861394187</v>
      </c>
      <c r="AO32" s="125">
        <f t="shared" ca="1" si="7"/>
        <v>1.9907539158048677</v>
      </c>
      <c r="AP32" s="125">
        <f t="shared" ca="1" si="7"/>
        <v>0.81063701757114071</v>
      </c>
      <c r="AQ32" s="93"/>
      <c r="AR32" s="93"/>
      <c r="AS32" s="93"/>
      <c r="AT32" s="93"/>
      <c r="AU32" s="93"/>
      <c r="AV32" s="93"/>
      <c r="AW32" s="93"/>
      <c r="AX32" s="93"/>
      <c r="AY32" s="93"/>
    </row>
    <row r="33" spans="2:53" s="130" customFormat="1" ht="13.5" x14ac:dyDescent="0.35">
      <c r="B33" s="119"/>
      <c r="C33" s="126" t="s">
        <v>144</v>
      </c>
      <c r="D33" s="30" t="str">
        <f t="shared" si="4"/>
        <v>Residential buildings</v>
      </c>
      <c r="E33" s="17" t="s">
        <v>33</v>
      </c>
      <c r="F33" s="1" t="str">
        <f t="shared" si="5"/>
        <v>FI carbon intensity Residential buildings Marker</v>
      </c>
      <c r="G33" s="127" t="s">
        <v>111</v>
      </c>
      <c r="H33" s="128" t="e">
        <f t="shared" ref="H33:AP33" si="8">IF(input_target_year=H$28,H$32,NA())</f>
        <v>#N/A</v>
      </c>
      <c r="I33" s="128" t="e">
        <f t="shared" si="8"/>
        <v>#N/A</v>
      </c>
      <c r="J33" s="128" t="e">
        <f t="shared" si="8"/>
        <v>#N/A</v>
      </c>
      <c r="K33" s="128" t="e">
        <f t="shared" si="8"/>
        <v>#N/A</v>
      </c>
      <c r="L33" s="128" t="e">
        <f t="shared" si="8"/>
        <v>#N/A</v>
      </c>
      <c r="M33" s="128" t="e">
        <f t="shared" si="8"/>
        <v>#N/A</v>
      </c>
      <c r="N33" s="128" t="e">
        <f t="shared" si="8"/>
        <v>#N/A</v>
      </c>
      <c r="O33" s="128" t="e">
        <f t="shared" si="8"/>
        <v>#N/A</v>
      </c>
      <c r="P33" s="128" t="e">
        <f t="shared" si="8"/>
        <v>#N/A</v>
      </c>
      <c r="Q33" s="128" t="e">
        <f t="shared" si="8"/>
        <v>#N/A</v>
      </c>
      <c r="R33" s="128" t="e">
        <f t="shared" si="8"/>
        <v>#N/A</v>
      </c>
      <c r="S33" s="128" t="e">
        <f t="shared" si="8"/>
        <v>#N/A</v>
      </c>
      <c r="T33" s="128" t="e">
        <f t="shared" si="8"/>
        <v>#N/A</v>
      </c>
      <c r="U33" s="128" t="e">
        <f t="shared" si="8"/>
        <v>#N/A</v>
      </c>
      <c r="V33" s="128">
        <f t="shared" ca="1" si="8"/>
        <v>52.424350952475578</v>
      </c>
      <c r="W33" s="128" t="e">
        <f t="shared" si="8"/>
        <v>#N/A</v>
      </c>
      <c r="X33" s="128" t="e">
        <f t="shared" si="8"/>
        <v>#N/A</v>
      </c>
      <c r="Y33" s="128" t="e">
        <f t="shared" si="8"/>
        <v>#N/A</v>
      </c>
      <c r="Z33" s="128" t="e">
        <f t="shared" si="8"/>
        <v>#N/A</v>
      </c>
      <c r="AA33" s="128" t="e">
        <f t="shared" si="8"/>
        <v>#N/A</v>
      </c>
      <c r="AB33" s="128" t="e">
        <f t="shared" si="8"/>
        <v>#N/A</v>
      </c>
      <c r="AC33" s="128" t="e">
        <f t="shared" si="8"/>
        <v>#N/A</v>
      </c>
      <c r="AD33" s="128" t="e">
        <f t="shared" si="8"/>
        <v>#N/A</v>
      </c>
      <c r="AE33" s="128" t="e">
        <f t="shared" si="8"/>
        <v>#N/A</v>
      </c>
      <c r="AF33" s="128" t="e">
        <f t="shared" si="8"/>
        <v>#N/A</v>
      </c>
      <c r="AG33" s="128" t="e">
        <f t="shared" si="8"/>
        <v>#N/A</v>
      </c>
      <c r="AH33" s="128" t="e">
        <f t="shared" si="8"/>
        <v>#N/A</v>
      </c>
      <c r="AI33" s="128" t="e">
        <f t="shared" si="8"/>
        <v>#N/A</v>
      </c>
      <c r="AJ33" s="128" t="e">
        <f t="shared" si="8"/>
        <v>#N/A</v>
      </c>
      <c r="AK33" s="128" t="e">
        <f t="shared" si="8"/>
        <v>#N/A</v>
      </c>
      <c r="AL33" s="128" t="e">
        <f t="shared" si="8"/>
        <v>#N/A</v>
      </c>
      <c r="AM33" s="128" t="e">
        <f t="shared" si="8"/>
        <v>#N/A</v>
      </c>
      <c r="AN33" s="128" t="e">
        <f t="shared" si="8"/>
        <v>#N/A</v>
      </c>
      <c r="AO33" s="128" t="e">
        <f t="shared" si="8"/>
        <v>#N/A</v>
      </c>
      <c r="AP33" s="128" t="e">
        <f t="shared" si="8"/>
        <v>#N/A</v>
      </c>
      <c r="AQ33" s="129"/>
      <c r="AR33" s="129"/>
      <c r="AS33" s="129"/>
      <c r="AT33" s="129"/>
      <c r="AU33" s="129"/>
      <c r="AV33" s="129"/>
      <c r="AW33" s="129"/>
      <c r="AX33" s="129"/>
      <c r="AY33" s="129"/>
    </row>
    <row r="34" spans="2:53" s="133" customFormat="1" ht="13" x14ac:dyDescent="0.35">
      <c r="B34" s="120"/>
      <c r="C34" s="131" t="s">
        <v>145</v>
      </c>
      <c r="D34" s="30" t="str">
        <f t="shared" si="4"/>
        <v>Residential buildings</v>
      </c>
      <c r="E34" s="18" t="s">
        <v>32</v>
      </c>
      <c r="F34" s="1" t="str">
        <f t="shared" si="5"/>
        <v>FI absolute emissions Residential buildings Line</v>
      </c>
      <c r="G34" s="25" t="s">
        <v>115</v>
      </c>
      <c r="H34" s="132" t="e">
        <f t="shared" ref="H34:AO34" si="9">IF(OR(input_base_year="",input_target_year=""),NA(),
IF(input_base_year&lt;=H$28,H$32*H$31/cst_kg_tonne,NA()))</f>
        <v>#N/A</v>
      </c>
      <c r="I34" s="132">
        <f t="shared" ca="1" si="9"/>
        <v>280800</v>
      </c>
      <c r="J34" s="132">
        <f t="shared" ca="1" si="9"/>
        <v>275173.15676319401</v>
      </c>
      <c r="K34" s="132">
        <f t="shared" ca="1" si="9"/>
        <v>268982.5677135904</v>
      </c>
      <c r="L34" s="132">
        <f t="shared" ca="1" si="9"/>
        <v>262228.2534187329</v>
      </c>
      <c r="M34" s="132">
        <f t="shared" ca="1" si="9"/>
        <v>254910.23489754545</v>
      </c>
      <c r="N34" s="132">
        <f t="shared" ca="1" si="9"/>
        <v>247028.53363028393</v>
      </c>
      <c r="O34" s="132">
        <f t="shared" ca="1" si="9"/>
        <v>238583.1715686172</v>
      </c>
      <c r="P34" s="132">
        <f t="shared" ca="1" si="9"/>
        <v>229574.17114601165</v>
      </c>
      <c r="Q34" s="132">
        <f t="shared" ca="1" si="9"/>
        <v>220001.55528827061</v>
      </c>
      <c r="R34" s="132">
        <f t="shared" ca="1" si="9"/>
        <v>210669.9576164246</v>
      </c>
      <c r="S34" s="132">
        <f t="shared" ca="1" si="9"/>
        <v>200688.54496067064</v>
      </c>
      <c r="T34" s="132">
        <f t="shared" ca="1" si="9"/>
        <v>190057.34178967078</v>
      </c>
      <c r="U34" s="132">
        <f t="shared" ca="1" si="9"/>
        <v>178776.37310911331</v>
      </c>
      <c r="V34" s="132">
        <f t="shared" ca="1" si="9"/>
        <v>166845.66447349335</v>
      </c>
      <c r="W34" s="132">
        <f t="shared" ca="1" si="9"/>
        <v>156979.50710787179</v>
      </c>
      <c r="X34" s="132">
        <f t="shared" ca="1" si="9"/>
        <v>146766.98987356032</v>
      </c>
      <c r="Y34" s="132">
        <f t="shared" ca="1" si="9"/>
        <v>136208.14004480813</v>
      </c>
      <c r="Z34" s="132">
        <f t="shared" ca="1" si="9"/>
        <v>125302.9854944598</v>
      </c>
      <c r="AA34" s="132">
        <f t="shared" ca="1" si="9"/>
        <v>114051.55470710677</v>
      </c>
      <c r="AB34" s="132">
        <f t="shared" ca="1" si="9"/>
        <v>105563.02047690214</v>
      </c>
      <c r="AC34" s="132">
        <f t="shared" ca="1" si="9"/>
        <v>96788.642404830898</v>
      </c>
      <c r="AD34" s="132">
        <f t="shared" ca="1" si="9"/>
        <v>87728.45089241871</v>
      </c>
      <c r="AE34" s="132">
        <f t="shared" ca="1" si="9"/>
        <v>78382.477008422371</v>
      </c>
      <c r="AF34" s="132">
        <f t="shared" ca="1" si="9"/>
        <v>68750.75250347273</v>
      </c>
      <c r="AG34" s="132">
        <f t="shared" ca="1" si="9"/>
        <v>61542.702943603421</v>
      </c>
      <c r="AH34" s="132">
        <f t="shared" ca="1" si="9"/>
        <v>54103.555734089889</v>
      </c>
      <c r="AI34" s="132">
        <f t="shared" ca="1" si="9"/>
        <v>46433.344762305598</v>
      </c>
      <c r="AJ34" s="132">
        <f t="shared" ca="1" si="9"/>
        <v>38532.10465936418</v>
      </c>
      <c r="AK34" s="132">
        <f t="shared" ca="1" si="9"/>
        <v>30399.870816432762</v>
      </c>
      <c r="AL34" s="132">
        <f t="shared" ca="1" si="9"/>
        <v>25421.017894540782</v>
      </c>
      <c r="AM34" s="132">
        <f t="shared" ca="1" si="9"/>
        <v>20289.836977774299</v>
      </c>
      <c r="AN34" s="132">
        <f t="shared" ca="1" si="9"/>
        <v>15006.365839045222</v>
      </c>
      <c r="AO34" s="132">
        <f t="shared" ca="1" si="9"/>
        <v>9570.6430802795112</v>
      </c>
      <c r="AP34" s="132">
        <f ca="1">IF(OR(input_base_year="",input_target_year=""),NA(),
IF(input_base_year&lt;=AP$28,AP$32*AP$31/cst_kg_tonne,NA()))</f>
        <v>3982.7081506120103</v>
      </c>
      <c r="AQ34" s="120"/>
      <c r="AR34" s="120"/>
      <c r="AS34" s="120"/>
      <c r="AT34" s="120"/>
      <c r="AU34" s="120"/>
      <c r="AV34" s="120"/>
      <c r="AW34" s="120"/>
      <c r="AX34" s="120"/>
      <c r="AY34" s="120"/>
    </row>
    <row r="35" spans="2:53" s="130" customFormat="1" ht="13" x14ac:dyDescent="0.35">
      <c r="B35" s="129"/>
      <c r="C35" s="126" t="s">
        <v>145</v>
      </c>
      <c r="D35" s="30" t="str">
        <f t="shared" si="4"/>
        <v>Residential buildings</v>
      </c>
      <c r="E35" s="17" t="s">
        <v>33</v>
      </c>
      <c r="F35" s="1" t="str">
        <f t="shared" si="5"/>
        <v>FI absolute emissions Residential buildings Marker</v>
      </c>
      <c r="G35" s="25" t="s">
        <v>115</v>
      </c>
      <c r="H35" s="14" t="e">
        <f t="shared" ref="H35:AP35" si="10">IF(input_target_year=H$28,H$34,NA())</f>
        <v>#N/A</v>
      </c>
      <c r="I35" s="14" t="e">
        <f t="shared" si="10"/>
        <v>#N/A</v>
      </c>
      <c r="J35" s="14" t="e">
        <f t="shared" si="10"/>
        <v>#N/A</v>
      </c>
      <c r="K35" s="14" t="e">
        <f t="shared" si="10"/>
        <v>#N/A</v>
      </c>
      <c r="L35" s="14" t="e">
        <f t="shared" si="10"/>
        <v>#N/A</v>
      </c>
      <c r="M35" s="14" t="e">
        <f t="shared" si="10"/>
        <v>#N/A</v>
      </c>
      <c r="N35" s="14" t="e">
        <f t="shared" si="10"/>
        <v>#N/A</v>
      </c>
      <c r="O35" s="14" t="e">
        <f t="shared" si="10"/>
        <v>#N/A</v>
      </c>
      <c r="P35" s="14" t="e">
        <f t="shared" si="10"/>
        <v>#N/A</v>
      </c>
      <c r="Q35" s="14" t="e">
        <f t="shared" si="10"/>
        <v>#N/A</v>
      </c>
      <c r="R35" s="14" t="e">
        <f t="shared" si="10"/>
        <v>#N/A</v>
      </c>
      <c r="S35" s="14" t="e">
        <f t="shared" si="10"/>
        <v>#N/A</v>
      </c>
      <c r="T35" s="14" t="e">
        <f t="shared" si="10"/>
        <v>#N/A</v>
      </c>
      <c r="U35" s="14" t="e">
        <f t="shared" si="10"/>
        <v>#N/A</v>
      </c>
      <c r="V35" s="14">
        <f t="shared" ca="1" si="10"/>
        <v>166845.66447349335</v>
      </c>
      <c r="W35" s="14" t="e">
        <f t="shared" si="10"/>
        <v>#N/A</v>
      </c>
      <c r="X35" s="14" t="e">
        <f t="shared" si="10"/>
        <v>#N/A</v>
      </c>
      <c r="Y35" s="14" t="e">
        <f t="shared" si="10"/>
        <v>#N/A</v>
      </c>
      <c r="Z35" s="14" t="e">
        <f t="shared" si="10"/>
        <v>#N/A</v>
      </c>
      <c r="AA35" s="14" t="e">
        <f t="shared" si="10"/>
        <v>#N/A</v>
      </c>
      <c r="AB35" s="14" t="e">
        <f t="shared" si="10"/>
        <v>#N/A</v>
      </c>
      <c r="AC35" s="14" t="e">
        <f t="shared" si="10"/>
        <v>#N/A</v>
      </c>
      <c r="AD35" s="14" t="e">
        <f t="shared" si="10"/>
        <v>#N/A</v>
      </c>
      <c r="AE35" s="14" t="e">
        <f t="shared" si="10"/>
        <v>#N/A</v>
      </c>
      <c r="AF35" s="14" t="e">
        <f t="shared" si="10"/>
        <v>#N/A</v>
      </c>
      <c r="AG35" s="14" t="e">
        <f t="shared" si="10"/>
        <v>#N/A</v>
      </c>
      <c r="AH35" s="14" t="e">
        <f t="shared" si="10"/>
        <v>#N/A</v>
      </c>
      <c r="AI35" s="14" t="e">
        <f t="shared" si="10"/>
        <v>#N/A</v>
      </c>
      <c r="AJ35" s="14" t="e">
        <f t="shared" si="10"/>
        <v>#N/A</v>
      </c>
      <c r="AK35" s="14" t="e">
        <f t="shared" si="10"/>
        <v>#N/A</v>
      </c>
      <c r="AL35" s="14" t="e">
        <f t="shared" si="10"/>
        <v>#N/A</v>
      </c>
      <c r="AM35" s="14" t="e">
        <f t="shared" si="10"/>
        <v>#N/A</v>
      </c>
      <c r="AN35" s="14" t="e">
        <f t="shared" si="10"/>
        <v>#N/A</v>
      </c>
      <c r="AO35" s="14" t="e">
        <f t="shared" si="10"/>
        <v>#N/A</v>
      </c>
      <c r="AP35" s="14" t="e">
        <f t="shared" si="10"/>
        <v>#N/A</v>
      </c>
      <c r="AQ35" s="129"/>
      <c r="AR35" s="129"/>
      <c r="AS35" s="129"/>
      <c r="AT35" s="129"/>
      <c r="AU35" s="129"/>
      <c r="AV35" s="129"/>
      <c r="AW35" s="129"/>
      <c r="AX35" s="129"/>
      <c r="AY35" s="129"/>
    </row>
    <row r="36" spans="2:53" ht="12.65" customHeight="1" x14ac:dyDescent="0.2">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row>
    <row r="37" spans="2:53" ht="12.65" customHeight="1" x14ac:dyDescent="0.2">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row>
    <row r="38" spans="2:53" ht="12.65" customHeight="1" x14ac:dyDescent="0.2">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row>
    <row r="39" spans="2:53" ht="12.65" customHeight="1" x14ac:dyDescent="0.2">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row>
    <row r="40" spans="2:53" ht="12.65" customHeight="1" x14ac:dyDescent="0.2">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row>
    <row r="41" spans="2:53" ht="12.65" customHeight="1" x14ac:dyDescent="0.2">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row>
    <row r="42" spans="2:53" ht="12.65" customHeight="1" x14ac:dyDescent="0.2">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row>
    <row r="43" spans="2:53" ht="12.65" customHeight="1" x14ac:dyDescent="0.2">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row>
    <row r="44" spans="2:53" ht="12.65" customHeight="1" x14ac:dyDescent="0.2">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row>
    <row r="45" spans="2:53" ht="12.65" customHeight="1" x14ac:dyDescent="0.2">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row>
    <row r="46" spans="2:53" ht="12.65" customHeight="1" x14ac:dyDescent="0.2">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row>
    <row r="47" spans="2:53" ht="12.65" customHeight="1" x14ac:dyDescent="0.2">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row>
    <row r="48" spans="2:53" ht="12.65" customHeight="1" x14ac:dyDescent="0.2">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row>
    <row r="49" spans="2:53" ht="12.65" customHeight="1" x14ac:dyDescent="0.2">
      <c r="B49" s="93"/>
      <c r="C49" s="95"/>
      <c r="D49" s="95"/>
      <c r="E49" s="95"/>
      <c r="F49" s="95"/>
      <c r="G49" s="95"/>
      <c r="H49" s="95"/>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row>
    <row r="50" spans="2:53" ht="12.65" customHeight="1" x14ac:dyDescent="0.2">
      <c r="B50" s="93"/>
      <c r="C50" s="7"/>
      <c r="D50" s="7"/>
      <c r="E50" s="7"/>
      <c r="F50" s="7"/>
      <c r="G50" s="7"/>
      <c r="H50" s="7"/>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row>
    <row r="51" spans="2:53" ht="12.65" customHeight="1" x14ac:dyDescent="0.2">
      <c r="B51" s="93"/>
      <c r="C51" s="7"/>
      <c r="D51" s="7"/>
      <c r="E51" s="7"/>
      <c r="F51" s="7"/>
      <c r="G51" s="7"/>
      <c r="H51" s="7"/>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row>
    <row r="52" spans="2:53" ht="12.65" customHeight="1" x14ac:dyDescent="0.2">
      <c r="B52" s="93"/>
      <c r="C52" s="7"/>
      <c r="D52" s="7"/>
      <c r="E52" s="7"/>
      <c r="F52" s="7"/>
      <c r="G52" s="7"/>
      <c r="H52" s="7"/>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row>
    <row r="53" spans="2:53" ht="12.65" customHeight="1" x14ac:dyDescent="0.2">
      <c r="B53" s="93"/>
      <c r="C53" s="7"/>
      <c r="D53" s="7"/>
      <c r="E53" s="7"/>
      <c r="F53" s="7"/>
      <c r="G53" s="7"/>
      <c r="H53" s="7"/>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row>
    <row r="54" spans="2:53" ht="12.65" customHeight="1" x14ac:dyDescent="0.2">
      <c r="B54" s="93"/>
      <c r="C54" s="7"/>
      <c r="D54" s="7"/>
      <c r="E54" s="7"/>
      <c r="F54" s="7"/>
      <c r="G54" s="7"/>
      <c r="H54" s="7"/>
      <c r="I54" s="93"/>
      <c r="J54" s="95"/>
      <c r="K54" s="95"/>
      <c r="L54" s="95"/>
      <c r="M54" s="95"/>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row>
    <row r="55" spans="2:53" ht="12.65" customHeight="1" x14ac:dyDescent="0.2">
      <c r="B55" s="93"/>
      <c r="C55" s="7"/>
      <c r="D55" s="7"/>
      <c r="E55" s="7"/>
      <c r="F55" s="7"/>
      <c r="G55" s="7"/>
      <c r="H55" s="7"/>
      <c r="I55" s="93"/>
      <c r="J55" s="7"/>
      <c r="K55" s="7"/>
      <c r="L55" s="7"/>
      <c r="M55" s="7"/>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row>
    <row r="56" spans="2:53" ht="12.65" customHeight="1" x14ac:dyDescent="0.2">
      <c r="B56" s="93"/>
      <c r="C56" s="7"/>
      <c r="D56" s="7"/>
      <c r="E56" s="7"/>
      <c r="F56" s="7"/>
      <c r="G56" s="7"/>
      <c r="H56" s="7"/>
      <c r="I56" s="95"/>
      <c r="J56" s="7"/>
      <c r="K56" s="7"/>
      <c r="L56" s="7"/>
      <c r="M56" s="7"/>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row>
    <row r="57" spans="2:53" ht="12.65" customHeight="1" x14ac:dyDescent="0.2">
      <c r="B57" s="95"/>
      <c r="C57" s="7"/>
      <c r="D57" s="7"/>
      <c r="E57" s="7"/>
      <c r="F57" s="7"/>
      <c r="G57" s="7"/>
      <c r="H57" s="7"/>
      <c r="I57" s="7"/>
      <c r="J57" s="7"/>
      <c r="K57" s="7"/>
      <c r="L57" s="7"/>
      <c r="M57" s="7"/>
      <c r="N57" s="95"/>
      <c r="O57" s="95"/>
      <c r="P57" s="95"/>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row>
    <row r="58" spans="2:53" ht="12.65" customHeight="1" x14ac:dyDescent="0.2">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row>
    <row r="59" spans="2:53" ht="12.65" customHeight="1" x14ac:dyDescent="0.2">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row>
    <row r="60" spans="2:53" ht="12.65" customHeight="1" x14ac:dyDescent="0.2">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row>
    <row r="61" spans="2:53" ht="12.65" customHeight="1" x14ac:dyDescent="0.2">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row>
    <row r="62" spans="2:53" ht="12.65" customHeight="1" x14ac:dyDescent="0.2">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row>
    <row r="63" spans="2:53" ht="12.65" customHeight="1" x14ac:dyDescent="0.2">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row>
    <row r="64" spans="2:53" ht="12.65" customHeight="1" x14ac:dyDescent="0.25">
      <c r="B64" s="7"/>
      <c r="C64" s="7"/>
      <c r="D64" s="97"/>
      <c r="E64" s="98"/>
      <c r="F64" s="97"/>
      <c r="G64" s="98"/>
      <c r="H64" s="9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row>
    <row r="65" spans="2:53" ht="12.65" customHeight="1" x14ac:dyDescent="0.2">
      <c r="B65" s="7"/>
      <c r="C65" s="7"/>
      <c r="D65" s="100"/>
      <c r="E65" s="7"/>
      <c r="F65" s="100"/>
      <c r="G65" s="7"/>
      <c r="H65" s="100"/>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row>
    <row r="66" spans="2:53" ht="12.65" customHeight="1" x14ac:dyDescent="0.2">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row>
    <row r="67" spans="2:53" ht="12.65" customHeight="1" x14ac:dyDescent="0.2">
      <c r="B67" s="7"/>
      <c r="C67" s="7"/>
      <c r="D67" s="100"/>
      <c r="E67" s="7"/>
      <c r="F67" s="100"/>
      <c r="G67" s="7"/>
      <c r="H67" s="100"/>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row>
    <row r="68" spans="2:53" ht="12.65" customHeight="1" x14ac:dyDescent="0.2">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row>
    <row r="69" spans="2:53" ht="12.65" customHeight="1" x14ac:dyDescent="0.2">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row>
    <row r="70" spans="2:53" ht="12.65" customHeight="1" x14ac:dyDescent="0.25">
      <c r="B70" s="96"/>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row>
    <row r="71" spans="2:53" ht="12.65" customHeight="1" x14ac:dyDescent="0.2">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row>
    <row r="72" spans="2:53" ht="12.65" customHeight="1" x14ac:dyDescent="0.2">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row>
    <row r="73" spans="2:53" ht="12.65" customHeight="1" x14ac:dyDescent="0.2">
      <c r="B73" s="99"/>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row>
    <row r="74" spans="2:53" ht="12.65" customHeight="1" x14ac:dyDescent="0.2">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row>
    <row r="75" spans="2:53" ht="12.65" customHeight="1" x14ac:dyDescent="0.2">
      <c r="B75" s="99"/>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row>
    <row r="76" spans="2:53" ht="12.65" customHeight="1" x14ac:dyDescent="0.2">
      <c r="B76" s="7"/>
      <c r="C76" s="101"/>
      <c r="D76" s="101"/>
      <c r="E76" s="101"/>
      <c r="F76" s="101"/>
      <c r="G76" s="101"/>
      <c r="H76" s="101"/>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row>
    <row r="77" spans="2:53" ht="12.65" customHeight="1" x14ac:dyDescent="0.2">
      <c r="B77" s="7"/>
      <c r="C77" s="101"/>
      <c r="D77" s="101"/>
      <c r="E77" s="101"/>
      <c r="F77" s="101"/>
      <c r="G77" s="101"/>
      <c r="H77" s="101"/>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row>
    <row r="78" spans="2:53" ht="12.65" customHeight="1" x14ac:dyDescent="0.2">
      <c r="B78" s="7"/>
      <c r="C78" s="101"/>
      <c r="D78" s="101"/>
      <c r="E78" s="101"/>
      <c r="F78" s="101"/>
      <c r="G78" s="101"/>
      <c r="H78" s="101"/>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row>
    <row r="79" spans="2:53" ht="12.65" customHeight="1" x14ac:dyDescent="0.2">
      <c r="B79" s="7"/>
      <c r="C79" s="101"/>
      <c r="D79" s="101"/>
      <c r="E79" s="101"/>
      <c r="F79" s="101"/>
      <c r="G79" s="101"/>
      <c r="H79" s="101"/>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row>
    <row r="80" spans="2:53" ht="12.65" customHeight="1" x14ac:dyDescent="0.2">
      <c r="B80" s="7"/>
      <c r="C80" s="101"/>
      <c r="D80" s="101"/>
      <c r="E80" s="101"/>
      <c r="F80" s="101"/>
      <c r="G80" s="101"/>
      <c r="H80" s="101"/>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row>
    <row r="81" spans="2:53" ht="12.65" customHeight="1" x14ac:dyDescent="0.2">
      <c r="B81" s="7"/>
      <c r="C81" s="101"/>
      <c r="D81" s="101"/>
      <c r="E81" s="101"/>
      <c r="F81" s="101"/>
      <c r="G81" s="101"/>
      <c r="H81" s="101"/>
      <c r="I81" s="7"/>
      <c r="J81" s="101"/>
      <c r="K81" s="101"/>
      <c r="L81" s="101"/>
      <c r="M81" s="101"/>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row>
    <row r="82" spans="2:53" ht="12.65" customHeight="1" x14ac:dyDescent="0.2">
      <c r="B82" s="7"/>
      <c r="C82" s="101"/>
      <c r="D82" s="101"/>
      <c r="E82" s="101"/>
      <c r="F82" s="101"/>
      <c r="G82" s="101"/>
      <c r="H82" s="101"/>
      <c r="I82" s="7"/>
      <c r="J82" s="101"/>
      <c r="K82" s="101"/>
      <c r="L82" s="101"/>
      <c r="M82" s="101"/>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row>
    <row r="83" spans="2:53" ht="12.65" customHeight="1" x14ac:dyDescent="0.2">
      <c r="B83" s="7"/>
      <c r="C83" s="101"/>
      <c r="D83" s="101"/>
      <c r="E83" s="101"/>
      <c r="F83" s="101"/>
      <c r="G83" s="101"/>
      <c r="H83" s="101"/>
      <c r="I83" s="101"/>
      <c r="J83" s="101"/>
      <c r="K83" s="101"/>
      <c r="L83" s="101"/>
      <c r="M83" s="101"/>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row>
    <row r="84" spans="2:53" ht="12.65" customHeight="1" x14ac:dyDescent="0.2">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c r="BA84" s="101"/>
    </row>
    <row r="85" spans="2:53" ht="12.65" customHeight="1" x14ac:dyDescent="0.2">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row>
    <row r="86" spans="2:53" ht="12.65" customHeight="1" x14ac:dyDescent="0.2">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01"/>
      <c r="BA86" s="101"/>
    </row>
    <row r="87" spans="2:53" ht="12.65" customHeight="1" x14ac:dyDescent="0.2">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c r="AK87" s="101"/>
      <c r="AL87" s="101"/>
      <c r="AM87" s="101"/>
      <c r="AN87" s="101"/>
      <c r="AO87" s="101"/>
      <c r="AP87" s="101"/>
      <c r="AQ87" s="101"/>
      <c r="AR87" s="101"/>
      <c r="AS87" s="101"/>
      <c r="AT87" s="101"/>
      <c r="AU87" s="101"/>
      <c r="AV87" s="101"/>
      <c r="AW87" s="101"/>
      <c r="AX87" s="101"/>
      <c r="AY87" s="101"/>
      <c r="AZ87" s="101"/>
      <c r="BA87" s="101"/>
    </row>
    <row r="88" spans="2:53" ht="12.65" customHeight="1" x14ac:dyDescent="0.2">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row>
    <row r="89" spans="2:53" ht="12.65" customHeight="1" x14ac:dyDescent="0.2">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1"/>
    </row>
    <row r="90" spans="2:53" ht="12.65" customHeight="1" x14ac:dyDescent="0.2">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row>
    <row r="91" spans="2:53" ht="12.65" customHeight="1" x14ac:dyDescent="0.2">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row>
    <row r="92" spans="2:53" ht="12.65" customHeight="1" x14ac:dyDescent="0.2">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row>
    <row r="93" spans="2:53" ht="12.65" customHeight="1" x14ac:dyDescent="0.2">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row>
    <row r="94" spans="2:53" ht="12.65" customHeight="1" x14ac:dyDescent="0.2">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row>
    <row r="95" spans="2:53" ht="12.65" customHeight="1" x14ac:dyDescent="0.2">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row>
    <row r="96" spans="2:53" ht="12.65" customHeight="1" x14ac:dyDescent="0.2">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c r="AK96" s="101"/>
      <c r="AL96" s="101"/>
      <c r="AM96" s="101"/>
      <c r="AN96" s="101"/>
      <c r="AO96" s="101"/>
      <c r="AP96" s="101"/>
      <c r="AQ96" s="101"/>
      <c r="AR96" s="101"/>
      <c r="AS96" s="101"/>
      <c r="AT96" s="101"/>
      <c r="AU96" s="101"/>
      <c r="AV96" s="101"/>
      <c r="AW96" s="101"/>
      <c r="AX96" s="101"/>
      <c r="AY96" s="101"/>
      <c r="AZ96" s="101"/>
      <c r="BA96" s="101"/>
    </row>
    <row r="97" spans="2:53" ht="10.25" customHeight="1" x14ac:dyDescent="0.2">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c r="AK97" s="101"/>
      <c r="AL97" s="101"/>
      <c r="AM97" s="101"/>
      <c r="AN97" s="101"/>
      <c r="AO97" s="101"/>
      <c r="AP97" s="101"/>
      <c r="AQ97" s="101"/>
      <c r="AR97" s="101"/>
      <c r="AS97" s="101"/>
      <c r="AT97" s="101"/>
      <c r="AU97" s="101"/>
      <c r="AV97" s="101"/>
      <c r="AW97" s="101"/>
      <c r="AX97" s="101"/>
      <c r="AY97" s="101"/>
      <c r="AZ97" s="101"/>
      <c r="BA97" s="101"/>
    </row>
    <row r="98" spans="2:53" ht="10.25" customHeight="1" x14ac:dyDescent="0.2">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row>
    <row r="99" spans="2:53" ht="10.25" customHeight="1" x14ac:dyDescent="0.2">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K99" s="101"/>
      <c r="AL99" s="101"/>
      <c r="AM99" s="101"/>
      <c r="AN99" s="101"/>
      <c r="AO99" s="101"/>
      <c r="AP99" s="101"/>
      <c r="AQ99" s="101"/>
      <c r="AR99" s="101"/>
      <c r="AS99" s="101"/>
      <c r="AT99" s="101"/>
      <c r="AU99" s="101"/>
      <c r="AV99" s="101"/>
      <c r="AW99" s="101"/>
      <c r="AX99" s="101"/>
      <c r="AY99" s="101"/>
      <c r="AZ99" s="101"/>
      <c r="BA99" s="101"/>
    </row>
    <row r="100" spans="2:53" ht="10.25" customHeight="1" x14ac:dyDescent="0.2">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c r="AK100" s="101"/>
      <c r="AL100" s="101"/>
      <c r="AM100" s="101"/>
      <c r="AN100" s="101"/>
      <c r="AO100" s="101"/>
      <c r="AP100" s="101"/>
      <c r="AQ100" s="101"/>
      <c r="AR100" s="101"/>
      <c r="AS100" s="101"/>
      <c r="AT100" s="101"/>
      <c r="AU100" s="101"/>
      <c r="AV100" s="101"/>
      <c r="AW100" s="101"/>
      <c r="AX100" s="101"/>
      <c r="AY100" s="101"/>
      <c r="AZ100" s="101"/>
      <c r="BA100" s="101"/>
    </row>
    <row r="101" spans="2:53" ht="10.25" customHeight="1" x14ac:dyDescent="0.2">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1"/>
    </row>
    <row r="102" spans="2:53" ht="10.25" customHeight="1" x14ac:dyDescent="0.2">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row>
    <row r="103" spans="2:53" ht="10.25" customHeight="1" x14ac:dyDescent="0.2">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c r="AK103" s="101"/>
      <c r="AL103" s="101"/>
      <c r="AM103" s="101"/>
      <c r="AN103" s="101"/>
      <c r="AO103" s="101"/>
      <c r="AP103" s="101"/>
      <c r="AQ103" s="101"/>
      <c r="AR103" s="101"/>
      <c r="AS103" s="101"/>
      <c r="AT103" s="101"/>
      <c r="AU103" s="101"/>
      <c r="AV103" s="101"/>
      <c r="AW103" s="101"/>
      <c r="AX103" s="101"/>
      <c r="AY103" s="101"/>
      <c r="AZ103" s="101"/>
      <c r="BA103" s="101"/>
    </row>
    <row r="104" spans="2:53" ht="10.25" customHeight="1" x14ac:dyDescent="0.2">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row>
    <row r="105" spans="2:53" ht="10.25" customHeight="1" x14ac:dyDescent="0.2">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row>
    <row r="106" spans="2:53" ht="10.25" customHeight="1" x14ac:dyDescent="0.2">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c r="AK106" s="101"/>
      <c r="AL106" s="101"/>
      <c r="AM106" s="101"/>
      <c r="AN106" s="101"/>
      <c r="AO106" s="101"/>
      <c r="AP106" s="101"/>
      <c r="AQ106" s="101"/>
      <c r="AR106" s="101"/>
      <c r="AS106" s="101"/>
      <c r="AT106" s="101"/>
      <c r="AU106" s="101"/>
      <c r="AV106" s="101"/>
      <c r="AW106" s="101"/>
      <c r="AX106" s="101"/>
      <c r="AY106" s="101"/>
      <c r="AZ106" s="101"/>
      <c r="BA106" s="101"/>
    </row>
    <row r="107" spans="2:53" ht="10.25" customHeight="1" x14ac:dyDescent="0.2">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1"/>
      <c r="AY107" s="101"/>
      <c r="AZ107" s="101"/>
      <c r="BA107" s="101"/>
    </row>
    <row r="108" spans="2:53" ht="10.25" customHeight="1" x14ac:dyDescent="0.2">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01"/>
      <c r="BA108" s="101"/>
    </row>
    <row r="109" spans="2:53" ht="10.25" customHeight="1" x14ac:dyDescent="0.2">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c r="AJ109" s="101"/>
      <c r="AK109" s="101"/>
      <c r="AL109" s="101"/>
      <c r="AM109" s="101"/>
      <c r="AN109" s="101"/>
      <c r="AO109" s="101"/>
      <c r="AP109" s="101"/>
      <c r="AQ109" s="101"/>
      <c r="AR109" s="101"/>
      <c r="AS109" s="101"/>
      <c r="AT109" s="101"/>
      <c r="AU109" s="101"/>
      <c r="AV109" s="101"/>
      <c r="AW109" s="101"/>
      <c r="AX109" s="101"/>
      <c r="AY109" s="101"/>
      <c r="AZ109" s="101"/>
      <c r="BA109" s="101"/>
    </row>
    <row r="110" spans="2:53" ht="10.25" customHeight="1" x14ac:dyDescent="0.2">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1"/>
      <c r="AZ110" s="101"/>
      <c r="BA110" s="101"/>
    </row>
    <row r="111" spans="2:53" ht="10.25" customHeight="1" x14ac:dyDescent="0.2">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1"/>
      <c r="AY111" s="101"/>
      <c r="AZ111" s="101"/>
      <c r="BA111" s="101"/>
    </row>
    <row r="112" spans="2:53" ht="10.25" customHeight="1" x14ac:dyDescent="0.2">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1"/>
      <c r="AY112" s="101"/>
      <c r="AZ112" s="101"/>
      <c r="BA112" s="101"/>
    </row>
    <row r="113" spans="2:53" ht="10.25" customHeight="1" x14ac:dyDescent="0.2">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c r="AJ113" s="101"/>
      <c r="AK113" s="101"/>
      <c r="AL113" s="101"/>
      <c r="AM113" s="101"/>
      <c r="AN113" s="101"/>
      <c r="AO113" s="101"/>
      <c r="AP113" s="101"/>
      <c r="AQ113" s="101"/>
      <c r="AR113" s="101"/>
      <c r="AS113" s="101"/>
      <c r="AT113" s="101"/>
      <c r="AU113" s="101"/>
      <c r="AV113" s="101"/>
      <c r="AW113" s="101"/>
      <c r="AX113" s="101"/>
      <c r="AY113" s="101"/>
      <c r="AZ113" s="101"/>
      <c r="BA113" s="101"/>
    </row>
    <row r="114" spans="2:53" ht="10.25" customHeight="1" x14ac:dyDescent="0.2">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c r="AJ114" s="101"/>
      <c r="AK114" s="101"/>
      <c r="AL114" s="101"/>
      <c r="AM114" s="101"/>
      <c r="AN114" s="101"/>
      <c r="AO114" s="101"/>
      <c r="AP114" s="101"/>
      <c r="AQ114" s="101"/>
      <c r="AR114" s="101"/>
      <c r="AS114" s="101"/>
      <c r="AT114" s="101"/>
      <c r="AU114" s="101"/>
      <c r="AV114" s="101"/>
      <c r="AW114" s="101"/>
      <c r="AX114" s="101"/>
      <c r="AY114" s="101"/>
      <c r="AZ114" s="101"/>
      <c r="BA114" s="101"/>
    </row>
    <row r="115" spans="2:53" ht="10.25" customHeight="1" x14ac:dyDescent="0.2">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c r="AJ115" s="101"/>
      <c r="AK115" s="101"/>
      <c r="AL115" s="101"/>
      <c r="AM115" s="101"/>
      <c r="AN115" s="101"/>
      <c r="AO115" s="101"/>
      <c r="AP115" s="101"/>
      <c r="AQ115" s="101"/>
      <c r="AR115" s="101"/>
      <c r="AS115" s="101"/>
      <c r="AT115" s="101"/>
      <c r="AU115" s="101"/>
      <c r="AV115" s="101"/>
      <c r="AW115" s="101"/>
      <c r="AX115" s="101"/>
      <c r="AY115" s="101"/>
      <c r="AZ115" s="101"/>
      <c r="BA115" s="101"/>
    </row>
    <row r="116" spans="2:53" ht="10.25" customHeight="1" x14ac:dyDescent="0.2">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c r="AJ116" s="101"/>
      <c r="AK116" s="101"/>
      <c r="AL116" s="101"/>
      <c r="AM116" s="101"/>
      <c r="AN116" s="101"/>
      <c r="AO116" s="101"/>
      <c r="AP116" s="101"/>
      <c r="AQ116" s="101"/>
      <c r="AR116" s="101"/>
      <c r="AS116" s="101"/>
      <c r="AT116" s="101"/>
      <c r="AU116" s="101"/>
      <c r="AV116" s="101"/>
      <c r="AW116" s="101"/>
      <c r="AX116" s="101"/>
      <c r="AY116" s="101"/>
      <c r="AZ116" s="101"/>
      <c r="BA116" s="101"/>
    </row>
    <row r="117" spans="2:53" x14ac:dyDescent="0.2">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c r="AJ117" s="101"/>
      <c r="AK117" s="101"/>
      <c r="AL117" s="101"/>
      <c r="AM117" s="101"/>
      <c r="AN117" s="101"/>
      <c r="AO117" s="101"/>
      <c r="AP117" s="101"/>
      <c r="AQ117" s="101"/>
      <c r="AR117" s="101"/>
      <c r="AS117" s="101"/>
      <c r="AT117" s="101"/>
      <c r="AU117" s="101"/>
      <c r="AV117" s="101"/>
      <c r="AW117" s="101"/>
      <c r="AX117" s="101"/>
      <c r="AY117" s="101"/>
      <c r="AZ117" s="101"/>
      <c r="BA117" s="101"/>
    </row>
    <row r="118" spans="2:53" x14ac:dyDescent="0.2">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c r="AJ118" s="101"/>
      <c r="AK118" s="101"/>
      <c r="AL118" s="101"/>
      <c r="AM118" s="101"/>
      <c r="AN118" s="101"/>
      <c r="AO118" s="101"/>
      <c r="AP118" s="101"/>
      <c r="AQ118" s="101"/>
      <c r="AR118" s="101"/>
      <c r="AS118" s="101"/>
      <c r="AT118" s="101"/>
      <c r="AU118" s="101"/>
      <c r="AV118" s="101"/>
      <c r="AW118" s="101"/>
      <c r="AX118" s="101"/>
      <c r="AY118" s="101"/>
      <c r="AZ118" s="101"/>
      <c r="BA118" s="101"/>
    </row>
    <row r="119" spans="2:53" x14ac:dyDescent="0.2">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c r="AJ119" s="101"/>
      <c r="AK119" s="101"/>
      <c r="AL119" s="101"/>
      <c r="AM119" s="101"/>
      <c r="AN119" s="101"/>
      <c r="AO119" s="101"/>
      <c r="AP119" s="101"/>
      <c r="AQ119" s="101"/>
      <c r="AR119" s="101"/>
      <c r="AS119" s="101"/>
      <c r="AT119" s="101"/>
      <c r="AU119" s="101"/>
      <c r="AV119" s="101"/>
      <c r="AW119" s="101"/>
      <c r="AX119" s="101"/>
      <c r="AY119" s="101"/>
      <c r="AZ119" s="101"/>
      <c r="BA119" s="101"/>
    </row>
    <row r="120" spans="2:53" x14ac:dyDescent="0.2">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c r="AJ120" s="101"/>
      <c r="AK120" s="101"/>
      <c r="AL120" s="101"/>
      <c r="AM120" s="101"/>
      <c r="AN120" s="101"/>
      <c r="AO120" s="101"/>
      <c r="AP120" s="101"/>
      <c r="AQ120" s="101"/>
      <c r="AR120" s="101"/>
      <c r="AS120" s="101"/>
      <c r="AT120" s="101"/>
      <c r="AU120" s="101"/>
      <c r="AV120" s="101"/>
      <c r="AW120" s="101"/>
      <c r="AX120" s="101"/>
      <c r="AY120" s="101"/>
      <c r="AZ120" s="101"/>
      <c r="BA120" s="101"/>
    </row>
    <row r="121" spans="2:53" x14ac:dyDescent="0.2">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c r="AJ121" s="101"/>
      <c r="AK121" s="101"/>
      <c r="AL121" s="101"/>
      <c r="AM121" s="101"/>
      <c r="AN121" s="101"/>
      <c r="AO121" s="101"/>
      <c r="AP121" s="101"/>
      <c r="AQ121" s="101"/>
      <c r="AR121" s="101"/>
      <c r="AS121" s="101"/>
      <c r="AT121" s="101"/>
      <c r="AU121" s="101"/>
      <c r="AV121" s="101"/>
      <c r="AW121" s="101"/>
      <c r="AX121" s="101"/>
      <c r="AY121" s="101"/>
      <c r="AZ121" s="101"/>
      <c r="BA121" s="101"/>
    </row>
    <row r="122" spans="2:53" x14ac:dyDescent="0.2">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c r="AJ122" s="101"/>
      <c r="AK122" s="101"/>
      <c r="AL122" s="101"/>
      <c r="AM122" s="101"/>
      <c r="AN122" s="101"/>
      <c r="AO122" s="101"/>
      <c r="AP122" s="101"/>
      <c r="AQ122" s="101"/>
      <c r="AR122" s="101"/>
      <c r="AS122" s="101"/>
      <c r="AT122" s="101"/>
      <c r="AU122" s="101"/>
      <c r="AV122" s="101"/>
      <c r="AW122" s="101"/>
      <c r="AX122" s="101"/>
      <c r="AY122" s="101"/>
      <c r="AZ122" s="101"/>
      <c r="BA122" s="101"/>
    </row>
    <row r="123" spans="2:53" x14ac:dyDescent="0.2">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1"/>
      <c r="AL123" s="101"/>
      <c r="AM123" s="101"/>
      <c r="AN123" s="101"/>
      <c r="AO123" s="101"/>
      <c r="AP123" s="101"/>
      <c r="AQ123" s="101"/>
      <c r="AR123" s="101"/>
      <c r="AS123" s="101"/>
      <c r="AT123" s="101"/>
      <c r="AU123" s="101"/>
      <c r="AV123" s="101"/>
      <c r="AW123" s="101"/>
      <c r="AX123" s="101"/>
      <c r="AY123" s="101"/>
      <c r="AZ123" s="101"/>
      <c r="BA123" s="101"/>
    </row>
    <row r="124" spans="2:53" x14ac:dyDescent="0.2">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c r="AJ124" s="101"/>
      <c r="AK124" s="101"/>
      <c r="AL124" s="101"/>
      <c r="AM124" s="101"/>
      <c r="AN124" s="101"/>
      <c r="AO124" s="101"/>
      <c r="AP124" s="101"/>
      <c r="AQ124" s="101"/>
      <c r="AR124" s="101"/>
      <c r="AS124" s="101"/>
      <c r="AT124" s="101"/>
      <c r="AU124" s="101"/>
      <c r="AV124" s="101"/>
      <c r="AW124" s="101"/>
      <c r="AX124" s="101"/>
      <c r="AY124" s="101"/>
      <c r="AZ124" s="101"/>
      <c r="BA124" s="101"/>
    </row>
    <row r="125" spans="2:53" x14ac:dyDescent="0.2">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1"/>
      <c r="AY125" s="101"/>
      <c r="AZ125" s="101"/>
      <c r="BA125" s="101"/>
    </row>
    <row r="126" spans="2:53" x14ac:dyDescent="0.2">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1"/>
      <c r="AY126" s="101"/>
      <c r="AZ126" s="101"/>
      <c r="BA126" s="101"/>
    </row>
    <row r="127" spans="2:53" x14ac:dyDescent="0.2">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row>
    <row r="128" spans="2:53" x14ac:dyDescent="0.2">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c r="AJ128" s="101"/>
      <c r="AK128" s="101"/>
      <c r="AL128" s="101"/>
      <c r="AM128" s="101"/>
      <c r="AN128" s="101"/>
      <c r="AO128" s="101"/>
      <c r="AP128" s="101"/>
      <c r="AQ128" s="101"/>
      <c r="AR128" s="101"/>
      <c r="AS128" s="101"/>
      <c r="AT128" s="101"/>
      <c r="AU128" s="101"/>
      <c r="AV128" s="101"/>
      <c r="AW128" s="101"/>
      <c r="AX128" s="101"/>
      <c r="AY128" s="101"/>
      <c r="AZ128" s="101"/>
      <c r="BA128" s="101"/>
    </row>
    <row r="129" spans="2:53" x14ac:dyDescent="0.2">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1"/>
      <c r="AV129" s="101"/>
      <c r="AW129" s="101"/>
      <c r="AX129" s="101"/>
      <c r="AY129" s="101"/>
      <c r="AZ129" s="101"/>
      <c r="BA129" s="101"/>
    </row>
    <row r="130" spans="2:53" x14ac:dyDescent="0.2">
      <c r="B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1"/>
      <c r="AY130" s="101"/>
      <c r="AZ130" s="101"/>
      <c r="BA130" s="101"/>
    </row>
    <row r="131" spans="2:53" x14ac:dyDescent="0.2">
      <c r="B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1"/>
      <c r="AY131" s="101"/>
      <c r="AZ131" s="101"/>
      <c r="BA131" s="101"/>
    </row>
    <row r="132" spans="2:53" x14ac:dyDescent="0.2">
      <c r="B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c r="AJ132" s="101"/>
      <c r="AK132" s="101"/>
      <c r="AL132" s="101"/>
      <c r="AM132" s="101"/>
      <c r="AN132" s="101"/>
      <c r="AO132" s="101"/>
      <c r="AP132" s="101"/>
      <c r="AQ132" s="101"/>
      <c r="AR132" s="101"/>
      <c r="AS132" s="101"/>
      <c r="AT132" s="101"/>
      <c r="AU132" s="101"/>
      <c r="AV132" s="101"/>
      <c r="AW132" s="101"/>
      <c r="AX132" s="101"/>
      <c r="AY132" s="101"/>
      <c r="AZ132" s="101"/>
      <c r="BA132" s="101"/>
    </row>
    <row r="133" spans="2:53" x14ac:dyDescent="0.2">
      <c r="B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1"/>
      <c r="AY133" s="101"/>
      <c r="AZ133" s="101"/>
      <c r="BA133" s="101"/>
    </row>
    <row r="134" spans="2:53" x14ac:dyDescent="0.2">
      <c r="B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1"/>
    </row>
    <row r="135" spans="2:53" x14ac:dyDescent="0.2">
      <c r="B135" s="101"/>
      <c r="I135" s="101"/>
      <c r="N135" s="101"/>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1"/>
    </row>
    <row r="136" spans="2:53" x14ac:dyDescent="0.2">
      <c r="B136" s="101"/>
      <c r="I136" s="101"/>
      <c r="N136" s="101"/>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row>
    <row r="137" spans="2:53" x14ac:dyDescent="0.2">
      <c r="B137" s="101"/>
      <c r="N137" s="101"/>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c r="AJ137" s="101"/>
      <c r="AK137" s="101"/>
      <c r="AL137" s="101"/>
      <c r="AM137" s="101"/>
      <c r="AN137" s="101"/>
      <c r="AO137" s="101"/>
      <c r="AP137" s="101"/>
      <c r="AQ137" s="101"/>
      <c r="AR137" s="101"/>
      <c r="AS137" s="101"/>
      <c r="AT137" s="101"/>
      <c r="AU137" s="101"/>
      <c r="AV137" s="101"/>
      <c r="AW137" s="101"/>
      <c r="AX137" s="101"/>
      <c r="AY137" s="101"/>
      <c r="AZ137" s="101"/>
      <c r="BA137" s="101"/>
    </row>
  </sheetData>
  <sheetProtection algorithmName="SHA-512" hashValue="MWxtqqnr9W2/lbI4oGuU6J41aPG8t2VtP+xYak4wHQ4yxn2OPRMSQPbrzML8IZI8TAWQlU7HcS0KdVtXlnXJdA==" saltValue="VU9aKSpLEEXtVP9UlUKHZg==" spinCount="100000" sheet="1" objects="1" scenarios="1"/>
  <mergeCells count="2">
    <mergeCell ref="F3:H3"/>
    <mergeCell ref="M11:R12"/>
  </mergeCells>
  <hyperlinks>
    <hyperlink ref="H6" r:id="rId1" xr:uid="{EEA4DEF2-39AE-4112-9200-667E6277EE89}"/>
    <hyperlink ref="M13" r:id="rId2" xr:uid="{31D796E5-814A-4915-B7F9-A5F526AD0C3E}"/>
  </hyperlinks>
  <pageMargins left="0.7" right="0.7" top="0.75" bottom="0.75" header="0.3" footer="0.3"/>
  <pageSetup paperSize="9" orientation="portrait" verticalDpi="0" r:id="rId3"/>
  <ignoredErrors>
    <ignoredError sqref="G12:G13 G14:G19" unlockedFormula="1"/>
    <ignoredError sqref="E21:E22" formula="1"/>
  </ignoredError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B2032-60AD-4A0E-9B9B-8D0C9F1AA692}">
  <sheetPr>
    <tabColor theme="0" tint="-0.499984740745262"/>
  </sheetPr>
  <dimension ref="B2:X124"/>
  <sheetViews>
    <sheetView showGridLines="0" zoomScale="90" zoomScaleNormal="90" workbookViewId="0"/>
  </sheetViews>
  <sheetFormatPr defaultColWidth="14.6640625" defaultRowHeight="10" x14ac:dyDescent="0.2"/>
  <cols>
    <col min="1" max="1" width="4.44140625" style="32" customWidth="1"/>
    <col min="2" max="2" width="31.44140625" style="32" bestFit="1" customWidth="1"/>
    <col min="3" max="3" width="3.6640625" style="32" customWidth="1"/>
    <col min="4" max="5" width="14.6640625" style="32" customWidth="1"/>
    <col min="6" max="6" width="3.6640625" style="32" customWidth="1"/>
    <col min="7" max="7" width="26.33203125" style="32" bestFit="1" customWidth="1"/>
    <col min="8" max="8" width="27" style="32" bestFit="1" customWidth="1"/>
    <col min="9" max="9" width="14.6640625" style="32" customWidth="1"/>
    <col min="10" max="10" width="20.6640625" style="32" bestFit="1" customWidth="1"/>
    <col min="11" max="18" width="14.6640625" style="32"/>
    <col min="19" max="19" width="14.6640625" style="32" customWidth="1"/>
    <col min="20" max="16384" width="14.6640625" style="32"/>
  </cols>
  <sheetData>
    <row r="2" spans="2:24" s="147" customFormat="1" x14ac:dyDescent="0.2"/>
    <row r="3" spans="2:24" ht="59" customHeight="1" x14ac:dyDescent="0.2">
      <c r="H3" s="223" t="s">
        <v>108</v>
      </c>
      <c r="I3" s="223"/>
      <c r="J3" s="223"/>
      <c r="K3" s="223"/>
      <c r="L3" s="223"/>
      <c r="M3" s="223"/>
      <c r="N3" s="223"/>
      <c r="O3" s="124"/>
      <c r="P3" s="124"/>
      <c r="Q3" s="52"/>
      <c r="R3" s="52"/>
      <c r="S3" s="52"/>
      <c r="T3" s="52"/>
    </row>
    <row r="5" spans="2:24" ht="13" x14ac:dyDescent="0.2">
      <c r="I5" s="33" t="s">
        <v>35</v>
      </c>
      <c r="J5" s="34"/>
      <c r="K5" s="34" t="str">
        <f>README!H5</f>
        <v>Version 1.2</v>
      </c>
    </row>
    <row r="6" spans="2:24" ht="13" x14ac:dyDescent="0.2">
      <c r="I6" s="33" t="s">
        <v>36</v>
      </c>
      <c r="J6" s="35"/>
      <c r="K6" s="31" t="s">
        <v>39</v>
      </c>
    </row>
    <row r="7" spans="2:24" ht="35" customHeight="1" x14ac:dyDescent="0.35">
      <c r="B7" s="53"/>
      <c r="C7" s="53"/>
      <c r="D7" s="53"/>
      <c r="E7" s="53"/>
      <c r="F7" s="53"/>
      <c r="G7" s="172"/>
      <c r="H7" s="53"/>
      <c r="I7" s="171" t="s">
        <v>157</v>
      </c>
      <c r="J7" s="53"/>
      <c r="K7" s="53"/>
      <c r="L7" s="53"/>
      <c r="M7" s="53"/>
      <c r="N7" s="53"/>
      <c r="O7" s="53"/>
      <c r="P7" s="53"/>
    </row>
    <row r="8" spans="2:24" ht="25" x14ac:dyDescent="0.2">
      <c r="B8" s="70" t="s">
        <v>91</v>
      </c>
      <c r="C8" s="71"/>
      <c r="D8" s="71"/>
      <c r="E8" s="71"/>
      <c r="F8" s="71"/>
      <c r="G8" s="71"/>
      <c r="H8" s="71"/>
      <c r="I8" s="71"/>
      <c r="J8" s="71"/>
      <c r="K8" s="71"/>
      <c r="L8" s="71"/>
      <c r="M8" s="71"/>
      <c r="N8" s="71"/>
      <c r="O8" s="71"/>
      <c r="P8" s="71"/>
      <c r="Q8" s="71"/>
      <c r="R8" s="71"/>
      <c r="S8" s="71"/>
    </row>
    <row r="9" spans="2:24" ht="10.25" customHeight="1" x14ac:dyDescent="0.2">
      <c r="B9" s="72"/>
      <c r="C9" s="72"/>
      <c r="D9" s="72"/>
      <c r="E9" s="72"/>
      <c r="F9" s="72"/>
      <c r="G9" s="72"/>
      <c r="H9" s="72"/>
      <c r="I9" s="72"/>
      <c r="J9" s="72"/>
      <c r="K9" s="72"/>
      <c r="L9" s="72"/>
      <c r="M9" s="72"/>
      <c r="N9" s="72"/>
      <c r="O9" s="72"/>
      <c r="P9" s="72"/>
      <c r="Q9" s="72"/>
      <c r="R9" s="72"/>
      <c r="S9" s="72"/>
      <c r="T9" s="72"/>
      <c r="U9" s="72"/>
      <c r="V9" s="72"/>
      <c r="W9" s="72"/>
      <c r="X9" s="72"/>
    </row>
    <row r="10" spans="2:24" ht="10.25" customHeight="1" x14ac:dyDescent="0.25">
      <c r="B10" s="76" t="s">
        <v>138</v>
      </c>
      <c r="C10" s="77"/>
      <c r="D10" s="78" t="s">
        <v>79</v>
      </c>
      <c r="E10" s="78" t="s">
        <v>80</v>
      </c>
      <c r="F10" s="77"/>
      <c r="G10" s="148" t="s">
        <v>131</v>
      </c>
      <c r="H10" s="76" t="s">
        <v>130</v>
      </c>
      <c r="J10" s="78" t="s">
        <v>25</v>
      </c>
      <c r="K10" s="78" t="s">
        <v>14</v>
      </c>
      <c r="L10" s="78" t="s">
        <v>0</v>
      </c>
      <c r="M10" s="77"/>
      <c r="N10" s="77"/>
      <c r="O10" s="77"/>
      <c r="P10" s="77"/>
      <c r="Q10" s="77"/>
      <c r="R10" s="77"/>
      <c r="S10" s="77"/>
      <c r="T10" s="77"/>
      <c r="U10" s="77"/>
      <c r="V10" s="77"/>
      <c r="W10" s="77"/>
      <c r="X10" s="77"/>
    </row>
    <row r="11" spans="2:24" s="34" customFormat="1" ht="10.25" customHeight="1" x14ac:dyDescent="0.2">
      <c r="B11" s="6" t="s">
        <v>92</v>
      </c>
      <c r="C11" s="77"/>
      <c r="D11" s="30">
        <v>2016</v>
      </c>
      <c r="E11" s="30">
        <f>2050</f>
        <v>2050</v>
      </c>
      <c r="F11" s="77"/>
      <c r="G11" s="30">
        <f t="shared" ref="G11:G44" si="0">IF(input_target_year&lt;=$D11,"",$D11)</f>
        <v>2016</v>
      </c>
      <c r="H11" s="30">
        <f t="shared" ref="H11:H41" si="1">IF(input_base_year&gt;=$E11,"",$E11)</f>
        <v>2050</v>
      </c>
      <c r="J11" s="6" t="s">
        <v>103</v>
      </c>
      <c r="K11" s="88">
        <v>1000</v>
      </c>
      <c r="L11" s="6" t="s">
        <v>26</v>
      </c>
      <c r="M11" s="77"/>
      <c r="N11" s="77"/>
      <c r="O11" s="77"/>
      <c r="P11" s="77"/>
      <c r="Q11" s="77"/>
      <c r="R11" s="77"/>
      <c r="S11" s="77"/>
      <c r="T11" s="77"/>
      <c r="U11" s="77"/>
      <c r="V11" s="77"/>
      <c r="W11" s="77"/>
      <c r="X11" s="77"/>
    </row>
    <row r="12" spans="2:24" s="34" customFormat="1" ht="10.25" customHeight="1" x14ac:dyDescent="0.2">
      <c r="B12" s="6" t="s">
        <v>93</v>
      </c>
      <c r="C12" s="77"/>
      <c r="D12" s="30">
        <f t="shared" ref="D12:D44" si="2">D11+1</f>
        <v>2017</v>
      </c>
      <c r="E12" s="30">
        <f>E11-1</f>
        <v>2049</v>
      </c>
      <c r="F12" s="77"/>
      <c r="G12" s="30">
        <f t="shared" si="0"/>
        <v>2017</v>
      </c>
      <c r="H12" s="30">
        <f t="shared" si="1"/>
        <v>2049</v>
      </c>
      <c r="J12" s="6" t="s">
        <v>104</v>
      </c>
      <c r="K12" s="88">
        <v>2050</v>
      </c>
      <c r="L12" s="6" t="s">
        <v>16</v>
      </c>
      <c r="M12" s="77"/>
      <c r="N12" s="77"/>
      <c r="O12" s="77"/>
      <c r="P12" s="77"/>
      <c r="Q12" s="77"/>
      <c r="R12" s="77"/>
      <c r="S12" s="77"/>
      <c r="T12" s="77"/>
      <c r="U12" s="77"/>
      <c r="V12" s="77"/>
      <c r="W12" s="77"/>
      <c r="X12" s="77"/>
    </row>
    <row r="13" spans="2:24" s="34" customFormat="1" x14ac:dyDescent="0.2">
      <c r="B13" s="80"/>
      <c r="C13" s="77"/>
      <c r="D13" s="30">
        <f t="shared" si="2"/>
        <v>2018</v>
      </c>
      <c r="E13" s="30">
        <f t="shared" ref="E13:E41" si="3">E12-1</f>
        <v>2048</v>
      </c>
      <c r="F13" s="77"/>
      <c r="G13" s="30">
        <f t="shared" si="0"/>
        <v>2018</v>
      </c>
      <c r="H13" s="30">
        <f t="shared" si="1"/>
        <v>2048</v>
      </c>
      <c r="I13" s="77"/>
      <c r="J13" s="6" t="s">
        <v>147</v>
      </c>
      <c r="K13" s="162">
        <f ca="1">IF(Input_asset_class_subsector=$B$16,INDEX(Tbl_IEA,MATCH(Data!$H19,Tbl_IEA_RowId,0),MATCH(2050,Tbl_IEA_ColYear,0)),
IF(Input_asset_class_subsector=$B$15,INDEX(Tbl_IEA,MATCH(Data!$H27,Tbl_IEA_RowId,0),MATCH(2050,Tbl_IEA_ColYear,0)),NA()))</f>
        <v>0.81063701757114071</v>
      </c>
      <c r="L13" s="77"/>
      <c r="M13" s="77"/>
      <c r="N13" s="77"/>
      <c r="O13" s="77"/>
      <c r="P13" s="77"/>
      <c r="Q13" s="77"/>
      <c r="R13" s="77"/>
      <c r="S13" s="77"/>
      <c r="T13" s="77"/>
      <c r="U13" s="77"/>
      <c r="V13" s="77"/>
    </row>
    <row r="14" spans="2:24" s="34" customFormat="1" ht="10.25" customHeight="1" x14ac:dyDescent="0.2">
      <c r="B14" s="155" t="s">
        <v>139</v>
      </c>
      <c r="C14" s="77"/>
      <c r="D14" s="30">
        <f t="shared" si="2"/>
        <v>2019</v>
      </c>
      <c r="E14" s="30">
        <f t="shared" si="3"/>
        <v>2047</v>
      </c>
      <c r="F14" s="77"/>
      <c r="G14" s="30">
        <f t="shared" si="0"/>
        <v>2019</v>
      </c>
      <c r="H14" s="30">
        <f t="shared" si="1"/>
        <v>2047</v>
      </c>
      <c r="I14" s="77"/>
      <c r="J14" s="77"/>
      <c r="K14" s="77"/>
      <c r="L14" s="81"/>
      <c r="M14" s="81"/>
      <c r="N14" s="81"/>
      <c r="O14" s="81"/>
      <c r="P14" s="77"/>
      <c r="Q14" s="77"/>
      <c r="R14" s="77"/>
      <c r="S14" s="77"/>
      <c r="T14" s="77"/>
      <c r="U14" s="77"/>
      <c r="V14" s="77"/>
      <c r="W14" s="77"/>
      <c r="X14" s="77"/>
    </row>
    <row r="15" spans="2:24" ht="10.25" customHeight="1" x14ac:dyDescent="0.2">
      <c r="B15" s="156" t="s">
        <v>7</v>
      </c>
      <c r="C15" s="77"/>
      <c r="D15" s="30">
        <f t="shared" si="2"/>
        <v>2020</v>
      </c>
      <c r="E15" s="30">
        <f t="shared" si="3"/>
        <v>2046</v>
      </c>
      <c r="F15" s="77"/>
      <c r="G15" s="30">
        <f t="shared" si="0"/>
        <v>2020</v>
      </c>
      <c r="H15" s="30">
        <f t="shared" si="1"/>
        <v>2046</v>
      </c>
      <c r="I15" s="77"/>
      <c r="J15" s="77"/>
      <c r="K15" s="77"/>
      <c r="L15" s="77"/>
      <c r="M15" s="77"/>
      <c r="N15" s="77"/>
      <c r="O15" s="77"/>
      <c r="P15" s="77"/>
      <c r="Q15" s="77"/>
      <c r="R15" s="77"/>
      <c r="S15" s="77"/>
      <c r="T15" s="77"/>
      <c r="U15" s="77"/>
      <c r="V15" s="77"/>
      <c r="W15" s="77"/>
      <c r="X15" s="77"/>
    </row>
    <row r="16" spans="2:24" ht="10.25" customHeight="1" x14ac:dyDescent="0.2">
      <c r="B16" s="156" t="str">
        <f>IF(Input_asset_class=$B$11,"Service buildings","")</f>
        <v/>
      </c>
      <c r="C16" s="77"/>
      <c r="D16" s="30">
        <f t="shared" si="2"/>
        <v>2021</v>
      </c>
      <c r="E16" s="30">
        <f t="shared" si="3"/>
        <v>2045</v>
      </c>
      <c r="F16" s="77"/>
      <c r="G16" s="30">
        <f t="shared" si="0"/>
        <v>2021</v>
      </c>
      <c r="H16" s="30">
        <f t="shared" si="1"/>
        <v>2045</v>
      </c>
      <c r="I16" s="77"/>
      <c r="J16" s="77"/>
      <c r="K16" s="77"/>
      <c r="L16" s="77"/>
      <c r="M16" s="77"/>
      <c r="N16" s="77"/>
      <c r="O16" s="77"/>
      <c r="P16" s="77"/>
      <c r="Q16" s="77"/>
      <c r="R16" s="77"/>
      <c r="S16" s="77"/>
      <c r="T16" s="77"/>
      <c r="U16" s="77"/>
      <c r="V16" s="77"/>
      <c r="W16" s="77"/>
      <c r="X16" s="77"/>
    </row>
    <row r="17" spans="2:24" ht="10.25" customHeight="1" x14ac:dyDescent="0.2">
      <c r="C17" s="77"/>
      <c r="D17" s="30">
        <f t="shared" si="2"/>
        <v>2022</v>
      </c>
      <c r="E17" s="30">
        <f t="shared" si="3"/>
        <v>2044</v>
      </c>
      <c r="F17" s="77"/>
      <c r="G17" s="30">
        <f t="shared" si="0"/>
        <v>2022</v>
      </c>
      <c r="H17" s="30">
        <f t="shared" si="1"/>
        <v>2044</v>
      </c>
      <c r="I17" s="77"/>
      <c r="J17" s="77"/>
      <c r="K17" s="77"/>
      <c r="L17" s="77"/>
      <c r="M17" s="77"/>
      <c r="N17" s="77"/>
      <c r="O17" s="77"/>
      <c r="P17" s="77"/>
      <c r="Q17" s="77"/>
      <c r="R17" s="77"/>
      <c r="S17" s="77"/>
      <c r="T17" s="77"/>
      <c r="U17" s="77"/>
      <c r="V17" s="77"/>
      <c r="W17" s="77"/>
      <c r="X17" s="77"/>
    </row>
    <row r="18" spans="2:24" ht="10.25" customHeight="1" x14ac:dyDescent="0.2">
      <c r="B18" s="85" t="s">
        <v>81</v>
      </c>
      <c r="C18" s="77"/>
      <c r="D18" s="30">
        <f t="shared" si="2"/>
        <v>2023</v>
      </c>
      <c r="E18" s="30">
        <f t="shared" si="3"/>
        <v>2043</v>
      </c>
      <c r="F18" s="77"/>
      <c r="G18" s="30">
        <f t="shared" si="0"/>
        <v>2023</v>
      </c>
      <c r="H18" s="30">
        <f t="shared" si="1"/>
        <v>2043</v>
      </c>
    </row>
    <row r="19" spans="2:24" ht="10.25" customHeight="1" x14ac:dyDescent="0.2">
      <c r="B19" s="6" t="s">
        <v>94</v>
      </c>
      <c r="C19" s="77"/>
      <c r="D19" s="30">
        <f t="shared" si="2"/>
        <v>2024</v>
      </c>
      <c r="E19" s="30">
        <f t="shared" si="3"/>
        <v>2042</v>
      </c>
      <c r="F19" s="77"/>
      <c r="G19" s="30">
        <f t="shared" si="0"/>
        <v>2024</v>
      </c>
      <c r="H19" s="30">
        <f t="shared" si="1"/>
        <v>2042</v>
      </c>
    </row>
    <row r="20" spans="2:24" ht="10.25" customHeight="1" x14ac:dyDescent="0.2">
      <c r="B20" s="6" t="s">
        <v>95</v>
      </c>
      <c r="C20" s="77"/>
      <c r="D20" s="30">
        <f t="shared" si="2"/>
        <v>2025</v>
      </c>
      <c r="E20" s="30">
        <f t="shared" si="3"/>
        <v>2041</v>
      </c>
      <c r="F20" s="77"/>
      <c r="G20" s="30">
        <f t="shared" si="0"/>
        <v>2025</v>
      </c>
      <c r="H20" s="30">
        <f t="shared" si="1"/>
        <v>2041</v>
      </c>
    </row>
    <row r="21" spans="2:24" ht="10.25" customHeight="1" x14ac:dyDescent="0.2">
      <c r="B21" s="84"/>
      <c r="C21" s="77"/>
      <c r="D21" s="30">
        <f t="shared" si="2"/>
        <v>2026</v>
      </c>
      <c r="E21" s="30">
        <f t="shared" si="3"/>
        <v>2040</v>
      </c>
      <c r="F21" s="77"/>
      <c r="G21" s="30">
        <f t="shared" si="0"/>
        <v>2026</v>
      </c>
      <c r="H21" s="30">
        <f t="shared" si="1"/>
        <v>2040</v>
      </c>
    </row>
    <row r="22" spans="2:24" ht="10.25" customHeight="1" x14ac:dyDescent="0.2">
      <c r="B22" s="84"/>
      <c r="C22" s="77"/>
      <c r="D22" s="30">
        <f t="shared" si="2"/>
        <v>2027</v>
      </c>
      <c r="E22" s="30">
        <f t="shared" si="3"/>
        <v>2039</v>
      </c>
      <c r="F22" s="77"/>
      <c r="G22" s="30">
        <f t="shared" si="0"/>
        <v>2027</v>
      </c>
      <c r="H22" s="30">
        <f t="shared" si="1"/>
        <v>2039</v>
      </c>
    </row>
    <row r="23" spans="2:24" ht="10.25" customHeight="1" x14ac:dyDescent="0.2">
      <c r="B23" s="82"/>
      <c r="C23" s="77"/>
      <c r="D23" s="30">
        <f t="shared" si="2"/>
        <v>2028</v>
      </c>
      <c r="E23" s="30">
        <f t="shared" si="3"/>
        <v>2038</v>
      </c>
      <c r="F23" s="77"/>
      <c r="G23" s="30">
        <f t="shared" si="0"/>
        <v>2028</v>
      </c>
      <c r="H23" s="30">
        <f t="shared" si="1"/>
        <v>2038</v>
      </c>
    </row>
    <row r="24" spans="2:24" ht="10.25" customHeight="1" x14ac:dyDescent="0.2">
      <c r="B24" s="77"/>
      <c r="C24" s="77"/>
      <c r="D24" s="30">
        <f t="shared" si="2"/>
        <v>2029</v>
      </c>
      <c r="E24" s="30">
        <f t="shared" si="3"/>
        <v>2037</v>
      </c>
      <c r="F24" s="77"/>
      <c r="G24" s="30">
        <f t="shared" si="0"/>
        <v>2029</v>
      </c>
      <c r="H24" s="30">
        <f t="shared" si="1"/>
        <v>2037</v>
      </c>
    </row>
    <row r="25" spans="2:24" ht="10.25" customHeight="1" x14ac:dyDescent="0.2">
      <c r="B25" s="83"/>
      <c r="C25" s="77"/>
      <c r="D25" s="30">
        <f t="shared" si="2"/>
        <v>2030</v>
      </c>
      <c r="E25" s="30">
        <f t="shared" si="3"/>
        <v>2036</v>
      </c>
      <c r="F25" s="77"/>
      <c r="G25" s="30" t="str">
        <f t="shared" si="0"/>
        <v/>
      </c>
      <c r="H25" s="30">
        <f t="shared" si="1"/>
        <v>2036</v>
      </c>
    </row>
    <row r="26" spans="2:24" ht="10.25" customHeight="1" x14ac:dyDescent="0.2">
      <c r="B26" s="77"/>
      <c r="C26" s="77"/>
      <c r="D26" s="30">
        <f t="shared" si="2"/>
        <v>2031</v>
      </c>
      <c r="E26" s="30">
        <f t="shared" si="3"/>
        <v>2035</v>
      </c>
      <c r="F26" s="77"/>
      <c r="G26" s="30" t="str">
        <f t="shared" si="0"/>
        <v/>
      </c>
      <c r="H26" s="30">
        <f t="shared" si="1"/>
        <v>2035</v>
      </c>
    </row>
    <row r="27" spans="2:24" ht="10.25" customHeight="1" x14ac:dyDescent="0.2">
      <c r="B27" s="76"/>
      <c r="C27" s="77"/>
      <c r="D27" s="30">
        <f t="shared" si="2"/>
        <v>2032</v>
      </c>
      <c r="E27" s="30">
        <f t="shared" si="3"/>
        <v>2034</v>
      </c>
      <c r="F27" s="77"/>
      <c r="G27" s="30" t="str">
        <f t="shared" si="0"/>
        <v/>
      </c>
      <c r="H27" s="30">
        <f t="shared" si="1"/>
        <v>2034</v>
      </c>
    </row>
    <row r="28" spans="2:24" ht="10.25" customHeight="1" x14ac:dyDescent="0.2">
      <c r="B28" s="77"/>
      <c r="C28" s="77"/>
      <c r="D28" s="30">
        <f t="shared" si="2"/>
        <v>2033</v>
      </c>
      <c r="E28" s="30">
        <f t="shared" si="3"/>
        <v>2033</v>
      </c>
      <c r="F28" s="77"/>
      <c r="G28" s="30" t="str">
        <f t="shared" si="0"/>
        <v/>
      </c>
      <c r="H28" s="30">
        <f t="shared" si="1"/>
        <v>2033</v>
      </c>
    </row>
    <row r="29" spans="2:24" ht="10.25" customHeight="1" x14ac:dyDescent="0.2">
      <c r="B29" s="77"/>
      <c r="C29" s="77"/>
      <c r="D29" s="30">
        <f t="shared" si="2"/>
        <v>2034</v>
      </c>
      <c r="E29" s="30">
        <f t="shared" si="3"/>
        <v>2032</v>
      </c>
      <c r="F29" s="77"/>
      <c r="G29" s="30" t="str">
        <f t="shared" si="0"/>
        <v/>
      </c>
      <c r="H29" s="30">
        <f t="shared" si="1"/>
        <v>2032</v>
      </c>
    </row>
    <row r="30" spans="2:24" ht="10.25" customHeight="1" x14ac:dyDescent="0.2">
      <c r="B30" s="76"/>
      <c r="C30" s="77"/>
      <c r="D30" s="30">
        <f t="shared" si="2"/>
        <v>2035</v>
      </c>
      <c r="E30" s="30">
        <f t="shared" si="3"/>
        <v>2031</v>
      </c>
      <c r="F30" s="77"/>
      <c r="G30" s="30" t="str">
        <f t="shared" si="0"/>
        <v/>
      </c>
      <c r="H30" s="30">
        <f t="shared" si="1"/>
        <v>2031</v>
      </c>
    </row>
    <row r="31" spans="2:24" ht="10.25" customHeight="1" x14ac:dyDescent="0.2">
      <c r="B31" s="77"/>
      <c r="C31" s="77"/>
      <c r="D31" s="30">
        <f t="shared" si="2"/>
        <v>2036</v>
      </c>
      <c r="E31" s="30">
        <f t="shared" si="3"/>
        <v>2030</v>
      </c>
      <c r="F31" s="77"/>
      <c r="G31" s="30" t="str">
        <f t="shared" si="0"/>
        <v/>
      </c>
      <c r="H31" s="30">
        <f t="shared" si="1"/>
        <v>2030</v>
      </c>
    </row>
    <row r="32" spans="2:24" ht="10.25" customHeight="1" x14ac:dyDescent="0.2">
      <c r="B32" s="77"/>
      <c r="C32" s="77"/>
      <c r="D32" s="30">
        <f t="shared" si="2"/>
        <v>2037</v>
      </c>
      <c r="E32" s="30">
        <f t="shared" si="3"/>
        <v>2029</v>
      </c>
      <c r="F32" s="77"/>
      <c r="G32" s="30" t="str">
        <f t="shared" si="0"/>
        <v/>
      </c>
      <c r="H32" s="30">
        <f t="shared" si="1"/>
        <v>2029</v>
      </c>
    </row>
    <row r="33" spans="2:8" ht="10.25" customHeight="1" x14ac:dyDescent="0.2">
      <c r="B33" s="77"/>
      <c r="C33" s="77"/>
      <c r="D33" s="30">
        <f t="shared" si="2"/>
        <v>2038</v>
      </c>
      <c r="E33" s="30">
        <f t="shared" si="3"/>
        <v>2028</v>
      </c>
      <c r="F33" s="77"/>
      <c r="G33" s="30" t="str">
        <f t="shared" si="0"/>
        <v/>
      </c>
      <c r="H33" s="30">
        <f t="shared" si="1"/>
        <v>2028</v>
      </c>
    </row>
    <row r="34" spans="2:8" ht="10.25" customHeight="1" x14ac:dyDescent="0.2">
      <c r="B34" s="77"/>
      <c r="C34" s="77"/>
      <c r="D34" s="30">
        <f t="shared" si="2"/>
        <v>2039</v>
      </c>
      <c r="E34" s="30">
        <f t="shared" si="3"/>
        <v>2027</v>
      </c>
      <c r="F34" s="77"/>
      <c r="G34" s="30" t="str">
        <f t="shared" si="0"/>
        <v/>
      </c>
      <c r="H34" s="30">
        <f t="shared" si="1"/>
        <v>2027</v>
      </c>
    </row>
    <row r="35" spans="2:8" ht="10.25" customHeight="1" x14ac:dyDescent="0.2">
      <c r="D35" s="30">
        <f t="shared" si="2"/>
        <v>2040</v>
      </c>
      <c r="E35" s="30">
        <f t="shared" si="3"/>
        <v>2026</v>
      </c>
      <c r="G35" s="30" t="str">
        <f t="shared" si="0"/>
        <v/>
      </c>
      <c r="H35" s="30">
        <f t="shared" si="1"/>
        <v>2026</v>
      </c>
    </row>
    <row r="36" spans="2:8" ht="10.25" customHeight="1" x14ac:dyDescent="0.2">
      <c r="D36" s="30">
        <f t="shared" si="2"/>
        <v>2041</v>
      </c>
      <c r="E36" s="30">
        <f t="shared" si="3"/>
        <v>2025</v>
      </c>
      <c r="G36" s="30" t="str">
        <f t="shared" si="0"/>
        <v/>
      </c>
      <c r="H36" s="30">
        <f t="shared" si="1"/>
        <v>2025</v>
      </c>
    </row>
    <row r="37" spans="2:8" ht="10.25" customHeight="1" x14ac:dyDescent="0.2">
      <c r="D37" s="30">
        <f t="shared" si="2"/>
        <v>2042</v>
      </c>
      <c r="E37" s="30">
        <f t="shared" si="3"/>
        <v>2024</v>
      </c>
      <c r="G37" s="30" t="str">
        <f t="shared" si="0"/>
        <v/>
      </c>
      <c r="H37" s="30">
        <f t="shared" si="1"/>
        <v>2024</v>
      </c>
    </row>
    <row r="38" spans="2:8" ht="10.25" customHeight="1" x14ac:dyDescent="0.2">
      <c r="D38" s="30">
        <f t="shared" si="2"/>
        <v>2043</v>
      </c>
      <c r="E38" s="30">
        <f t="shared" si="3"/>
        <v>2023</v>
      </c>
      <c r="G38" s="30" t="str">
        <f t="shared" si="0"/>
        <v/>
      </c>
      <c r="H38" s="30">
        <f t="shared" si="1"/>
        <v>2023</v>
      </c>
    </row>
    <row r="39" spans="2:8" ht="10.25" customHeight="1" x14ac:dyDescent="0.2">
      <c r="D39" s="30">
        <f t="shared" si="2"/>
        <v>2044</v>
      </c>
      <c r="E39" s="30">
        <f t="shared" si="3"/>
        <v>2022</v>
      </c>
      <c r="G39" s="30" t="str">
        <f t="shared" si="0"/>
        <v/>
      </c>
      <c r="H39" s="30">
        <f t="shared" si="1"/>
        <v>2022</v>
      </c>
    </row>
    <row r="40" spans="2:8" ht="10.25" customHeight="1" x14ac:dyDescent="0.2">
      <c r="D40" s="30">
        <f t="shared" si="2"/>
        <v>2045</v>
      </c>
      <c r="E40" s="30">
        <f t="shared" si="3"/>
        <v>2021</v>
      </c>
      <c r="G40" s="30" t="str">
        <f t="shared" si="0"/>
        <v/>
      </c>
      <c r="H40" s="30">
        <f t="shared" si="1"/>
        <v>2021</v>
      </c>
    </row>
    <row r="41" spans="2:8" ht="10.25" customHeight="1" x14ac:dyDescent="0.2">
      <c r="D41" s="30">
        <f t="shared" si="2"/>
        <v>2046</v>
      </c>
      <c r="E41" s="30">
        <f t="shared" si="3"/>
        <v>2020</v>
      </c>
      <c r="G41" s="30" t="str">
        <f t="shared" si="0"/>
        <v/>
      </c>
      <c r="H41" s="30">
        <f t="shared" si="1"/>
        <v>2020</v>
      </c>
    </row>
    <row r="42" spans="2:8" ht="10.25" customHeight="1" x14ac:dyDescent="0.2">
      <c r="D42" s="30">
        <f t="shared" si="2"/>
        <v>2047</v>
      </c>
      <c r="G42" s="30" t="str">
        <f t="shared" si="0"/>
        <v/>
      </c>
      <c r="H42" s="101"/>
    </row>
    <row r="43" spans="2:8" ht="10.25" customHeight="1" x14ac:dyDescent="0.2">
      <c r="D43" s="30">
        <f t="shared" si="2"/>
        <v>2048</v>
      </c>
      <c r="G43" s="30" t="str">
        <f t="shared" si="0"/>
        <v/>
      </c>
      <c r="H43" s="101"/>
    </row>
    <row r="44" spans="2:8" ht="10.25" customHeight="1" x14ac:dyDescent="0.2">
      <c r="D44" s="30">
        <f t="shared" si="2"/>
        <v>2049</v>
      </c>
      <c r="G44" s="30" t="str">
        <f t="shared" si="0"/>
        <v/>
      </c>
      <c r="H44" s="101"/>
    </row>
    <row r="45" spans="2:8" ht="10.25" customHeight="1" x14ac:dyDescent="0.2"/>
    <row r="46" spans="2:8" ht="10.25" customHeight="1" x14ac:dyDescent="0.2"/>
    <row r="47" spans="2:8" ht="10.25" customHeight="1" x14ac:dyDescent="0.2"/>
    <row r="48" spans="2:8" ht="10.25" customHeight="1" x14ac:dyDescent="0.2"/>
    <row r="49" ht="10.25" customHeight="1" x14ac:dyDescent="0.2"/>
    <row r="50" ht="10.25" customHeight="1" x14ac:dyDescent="0.2"/>
    <row r="51" ht="10.25" customHeight="1" x14ac:dyDescent="0.2"/>
    <row r="52" ht="10.25" customHeight="1" x14ac:dyDescent="0.2"/>
    <row r="53" ht="10.25" customHeight="1" x14ac:dyDescent="0.2"/>
    <row r="54" ht="10.25" customHeight="1" x14ac:dyDescent="0.2"/>
    <row r="55" ht="10.25" customHeight="1" x14ac:dyDescent="0.2"/>
    <row r="56" ht="10.25" customHeight="1" x14ac:dyDescent="0.2"/>
    <row r="57" ht="10.25" customHeight="1" x14ac:dyDescent="0.2"/>
    <row r="58" ht="10.25" customHeight="1" x14ac:dyDescent="0.2"/>
    <row r="59" ht="10.25" customHeight="1" x14ac:dyDescent="0.2"/>
    <row r="60" ht="10.25" customHeight="1" x14ac:dyDescent="0.2"/>
    <row r="61" ht="10.25" customHeight="1" x14ac:dyDescent="0.2"/>
    <row r="62" ht="10.25" customHeight="1" x14ac:dyDescent="0.2"/>
    <row r="63" ht="10.25" customHeight="1" x14ac:dyDescent="0.2"/>
    <row r="64" ht="10.25" customHeight="1" x14ac:dyDescent="0.2"/>
    <row r="65" ht="10.25" customHeight="1" x14ac:dyDescent="0.2"/>
    <row r="66" ht="10.25" customHeight="1" x14ac:dyDescent="0.2"/>
    <row r="67" ht="10.25" customHeight="1" x14ac:dyDescent="0.2"/>
    <row r="68" ht="10.25" customHeight="1" x14ac:dyDescent="0.2"/>
    <row r="69" ht="10.25" customHeight="1" x14ac:dyDescent="0.2"/>
    <row r="70" ht="10.25" customHeight="1" x14ac:dyDescent="0.2"/>
    <row r="71" ht="10.25" customHeight="1" x14ac:dyDescent="0.2"/>
    <row r="72" ht="10.25" customHeight="1" x14ac:dyDescent="0.2"/>
    <row r="73" ht="10.25" customHeight="1" x14ac:dyDescent="0.2"/>
    <row r="74" ht="10.25" customHeight="1" x14ac:dyDescent="0.2"/>
    <row r="75" ht="10.25" customHeight="1" x14ac:dyDescent="0.2"/>
    <row r="76" ht="10.25" customHeight="1" x14ac:dyDescent="0.2"/>
    <row r="77" ht="10.25" customHeight="1" x14ac:dyDescent="0.2"/>
    <row r="78" ht="10.25" customHeight="1" x14ac:dyDescent="0.2"/>
    <row r="79" ht="10.25" customHeight="1" x14ac:dyDescent="0.2"/>
    <row r="80" ht="10.25" customHeight="1" x14ac:dyDescent="0.2"/>
    <row r="81" ht="10.25" customHeight="1" x14ac:dyDescent="0.2"/>
    <row r="82" ht="10.25" customHeight="1" x14ac:dyDescent="0.2"/>
    <row r="83" ht="10.25" customHeight="1" x14ac:dyDescent="0.2"/>
    <row r="84" ht="10.25" customHeight="1" x14ac:dyDescent="0.2"/>
    <row r="85" ht="10.25" customHeight="1" x14ac:dyDescent="0.2"/>
    <row r="86" ht="10.25" customHeight="1" x14ac:dyDescent="0.2"/>
    <row r="87" ht="10.25" customHeight="1" x14ac:dyDescent="0.2"/>
    <row r="88" ht="10.25" customHeight="1" x14ac:dyDescent="0.2"/>
    <row r="89" ht="10.25" customHeight="1" x14ac:dyDescent="0.2"/>
    <row r="90" ht="10.25" customHeight="1" x14ac:dyDescent="0.2"/>
    <row r="91" ht="10.25" customHeight="1" x14ac:dyDescent="0.2"/>
    <row r="92" ht="10.25" customHeight="1" x14ac:dyDescent="0.2"/>
    <row r="93" ht="10.25" customHeight="1" x14ac:dyDescent="0.2"/>
    <row r="94" ht="10.25" customHeight="1" x14ac:dyDescent="0.2"/>
    <row r="95" ht="10.25" customHeight="1" x14ac:dyDescent="0.2"/>
    <row r="96" ht="10.25" customHeight="1" x14ac:dyDescent="0.2"/>
    <row r="97" ht="10.25" customHeight="1" x14ac:dyDescent="0.2"/>
    <row r="98" ht="10.25" customHeight="1" x14ac:dyDescent="0.2"/>
    <row r="99" ht="10.25" customHeight="1" x14ac:dyDescent="0.2"/>
    <row r="100" ht="10.25" customHeight="1" x14ac:dyDescent="0.2"/>
    <row r="101" ht="10.25" customHeight="1" x14ac:dyDescent="0.2"/>
    <row r="102" ht="10.25" customHeight="1" x14ac:dyDescent="0.2"/>
    <row r="103" ht="10.25" customHeight="1" x14ac:dyDescent="0.2"/>
    <row r="104" ht="10.25" customHeight="1" x14ac:dyDescent="0.2"/>
    <row r="105" ht="10.25" customHeight="1" x14ac:dyDescent="0.2"/>
    <row r="106" ht="10.25" customHeight="1" x14ac:dyDescent="0.2"/>
    <row r="107" ht="10.25" customHeight="1" x14ac:dyDescent="0.2"/>
    <row r="108" ht="10.25" customHeight="1" x14ac:dyDescent="0.2"/>
    <row r="109" ht="10.25" customHeight="1" x14ac:dyDescent="0.2"/>
    <row r="110" ht="10.25" customHeight="1" x14ac:dyDescent="0.2"/>
    <row r="111" ht="10.25" customHeight="1" x14ac:dyDescent="0.2"/>
    <row r="112" ht="10.25" customHeight="1" x14ac:dyDescent="0.2"/>
    <row r="113" ht="10.25" customHeight="1" x14ac:dyDescent="0.2"/>
    <row r="114" ht="10.25" customHeight="1" x14ac:dyDescent="0.2"/>
    <row r="115" ht="10.25" customHeight="1" x14ac:dyDescent="0.2"/>
    <row r="116" ht="10.25" customHeight="1" x14ac:dyDescent="0.2"/>
    <row r="117" ht="10.25" customHeight="1" x14ac:dyDescent="0.2"/>
    <row r="118" ht="10.25" customHeight="1" x14ac:dyDescent="0.2"/>
    <row r="119" ht="10.25" customHeight="1" x14ac:dyDescent="0.2"/>
    <row r="120" ht="10.25" customHeight="1" x14ac:dyDescent="0.2"/>
    <row r="121" ht="10.25" customHeight="1" x14ac:dyDescent="0.2"/>
    <row r="122" ht="10.25" customHeight="1" x14ac:dyDescent="0.2"/>
    <row r="123" ht="10.25" customHeight="1" x14ac:dyDescent="0.2"/>
    <row r="124" ht="10.25" customHeight="1" x14ac:dyDescent="0.2"/>
  </sheetData>
  <sheetProtection algorithmName="SHA-512" hashValue="jQMnnZFmrYUUMEIERLLAGU3CPYX8ZCe0s/yZupxMyBh2qsFGP8Bf/oq7uVqoJrjD8e9a/2YOASbhiZ4J4NbBuA==" saltValue="ms8XTI65YNyepkKC2ofTDQ==" spinCount="100000" sheet="1" objects="1" scenarios="1"/>
  <mergeCells count="1">
    <mergeCell ref="H3:N3"/>
  </mergeCells>
  <hyperlinks>
    <hyperlink ref="K6" r:id="rId1" xr:uid="{487C2E5F-E72C-4EC3-90BA-1B9AECB2ABD9}"/>
  </hyperlinks>
  <pageMargins left="0.7" right="0.7" top="0.75" bottom="0.75" header="0.3" footer="0.3"/>
  <pageSetup paperSize="9" orientation="portrait" verticalDpi="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7483D16D17D246B4BF5A0BC6EAB59E" ma:contentTypeVersion="12" ma:contentTypeDescription="Create a new document." ma:contentTypeScope="" ma:versionID="b798a3b4ddedfca815eddb5f7497e3a9">
  <xsd:schema xmlns:xsd="http://www.w3.org/2001/XMLSchema" xmlns:xs="http://www.w3.org/2001/XMLSchema" xmlns:p="http://schemas.microsoft.com/office/2006/metadata/properties" xmlns:ns3="4b774920-38fa-4234-8028-e42a16c967ba" xmlns:ns4="e7945ff6-2248-4da3-ac36-8de0862907c5" targetNamespace="http://schemas.microsoft.com/office/2006/metadata/properties" ma:root="true" ma:fieldsID="77a7bf8d66a91d57e127f746a67ea283" ns3:_="" ns4:_="">
    <xsd:import namespace="4b774920-38fa-4234-8028-e42a16c967ba"/>
    <xsd:import namespace="e7945ff6-2248-4da3-ac36-8de0862907c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774920-38fa-4234-8028-e42a16c967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7945ff6-2248-4da3-ac36-8de0862907c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F752D5-A8A8-41B8-A24F-F85EF1C69D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774920-38fa-4234-8028-e42a16c967ba"/>
    <ds:schemaRef ds:uri="e7945ff6-2248-4da3-ac36-8de0862907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703513-5B26-47F3-8110-F705E8E3BD18}">
  <ds:schemaRefs>
    <ds:schemaRef ds:uri="http://schemas.microsoft.com/office/2006/metadata/properties"/>
    <ds:schemaRef ds:uri="4b774920-38fa-4234-8028-e42a16c967ba"/>
    <ds:schemaRef ds:uri="e7945ff6-2248-4da3-ac36-8de0862907c5"/>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FE470762-5FDC-4BBC-AC9D-D22C384E7F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18</vt:i4>
      </vt:variant>
    </vt:vector>
  </HeadingPairs>
  <TitlesOfParts>
    <vt:vector size="24" baseType="lpstr">
      <vt:lpstr>README</vt:lpstr>
      <vt:lpstr>Quick guide</vt:lpstr>
      <vt:lpstr>SDA Tool</vt:lpstr>
      <vt:lpstr>Data</vt:lpstr>
      <vt:lpstr>Calc</vt:lpstr>
      <vt:lpstr>Admin</vt:lpstr>
      <vt:lpstr>cst_convergence_yr</vt:lpstr>
      <vt:lpstr>cst_kg_tonne</vt:lpstr>
      <vt:lpstr>cst_SI_2050</vt:lpstr>
      <vt:lpstr>Input_asset_class</vt:lpstr>
      <vt:lpstr>Input_asset_class_subsector</vt:lpstr>
      <vt:lpstr>input_base_year</vt:lpstr>
      <vt:lpstr>input_base_year_activities</vt:lpstr>
      <vt:lpstr>input_emissions</vt:lpstr>
      <vt:lpstr>input_projected_output_measure</vt:lpstr>
      <vt:lpstr>input_target_year</vt:lpstr>
      <vt:lpstr>input_target_year_output</vt:lpstr>
      <vt:lpstr>Tbl_Calc</vt:lpstr>
      <vt:lpstr>Tbl_Calc_ColYear</vt:lpstr>
      <vt:lpstr>Tbl_IEA</vt:lpstr>
      <vt:lpstr>Tbl_IEA_ColYear</vt:lpstr>
      <vt:lpstr>Tbl_IEA_RowId</vt:lpstr>
      <vt:lpstr>Tbl_KeyValues</vt:lpstr>
      <vt:lpstr>Tbl_KeyValues_RowId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Jorge Martinez-Blat</dc:creator>
  <cp:lastModifiedBy>Angelica Afanador(Migrated)</cp:lastModifiedBy>
  <dcterms:created xsi:type="dcterms:W3CDTF">2017-12-03T15:20:45Z</dcterms:created>
  <dcterms:modified xsi:type="dcterms:W3CDTF">2021-04-12T17:26:30Z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0x0101006B7483D16D17D246B4BF5A0BC6EAB59E</vt:lpwstr>
  </property>
  <property fmtid="{D5CDD505-2E9C-101B-9397-08002B2CF9AE}" pid="3" name="_dlc_DocIdItemGuid">
    <vt:lpwstr>8ba13541-290a-44a0-a731-06a5755aa2e9</vt:lpwstr>
  </property>
</Properties>
</file>